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JPM\JPM Asset Management\2025\"/>
    </mc:Choice>
  </mc:AlternateContent>
  <xr:revisionPtr revIDLastSave="0" documentId="13_ncr:1_{814B2982-2B06-4DDF-B9A9-08AB49F32483}" xr6:coauthVersionLast="47" xr6:coauthVersionMax="47" xr10:uidLastSave="{00000000-0000-0000-0000-000000000000}"/>
  <bookViews>
    <workbookView xWindow="-120" yWindow="-120" windowWidth="29040" windowHeight="15720" tabRatio="782" firstSheet="13" activeTab="13" xr2:uid="{F97F8169-01E5-4DD5-9E17-1DF70EF5F28D}"/>
  </bookViews>
  <sheets>
    <sheet name="TVM" sheetId="31" r:id="rId1"/>
    <sheet name="FOMC exp " sheetId="10" r:id="rId2"/>
    <sheet name="Quoting term rates" sheetId="27" r:id="rId3"/>
    <sheet name="Your &amp; cons term structure" sheetId="28" r:id="rId4"/>
    <sheet name="Overnight index swaps &lt; 1y" sheetId="7" r:id="rId5"/>
    <sheet name="Bond valn using zeros" sheetId="5" r:id="rId6"/>
    <sheet name="Clean, dirty and accrued int" sheetId="19" r:id="rId7"/>
    <sheet name="Clean and dirty const YTM" sheetId="20" r:id="rId8"/>
    <sheet name="Duration DV01  PV01" sheetId="12" r:id="rId9"/>
    <sheet name="Portf and Key rate Dn" sheetId="16" r:id="rId10"/>
    <sheet name="Corporate Bond - Nom, Z and ASW" sheetId="21" r:id="rId11"/>
    <sheet name="OAS - Bond Binomial" sheetId="32" r:id="rId12"/>
    <sheet name="Carry and roll" sheetId="15" r:id="rId13"/>
    <sheet name="Curve Strategies" sheetId="36" r:id="rId14"/>
    <sheet name="Value bond w real YTM" sheetId="34" r:id="rId15"/>
    <sheet name="Determine Infl adj val" sheetId="35" r:id="rId16"/>
  </sheets>
  <externalReferences>
    <externalReference r:id="rId17"/>
    <externalReference r:id="rId18"/>
    <externalReference r:id="rId19"/>
    <externalReference r:id="rId20"/>
  </externalReferences>
  <definedNames>
    <definedName name="ADIV">[1]Statistics!$A$29:$B$33</definedName>
    <definedName name="BA_CLOSE">[2]Volatility!$F$107:$F$1365</definedName>
    <definedName name="BA_LNCHG">[2]Volatility!$I$107:$I$1364</definedName>
    <definedName name="BA_PCTCHG">[2]Volatility!$H$107:$H$1364</definedName>
    <definedName name="BASIS">[1]Statistics!$B$25</definedName>
    <definedName name="bbb" localSheetId="10">#REF!</definedName>
    <definedName name="bbb" localSheetId="11">#REF!</definedName>
    <definedName name="bbb">#REF!</definedName>
    <definedName name="BDIV">[1]Statistics!$A$36:$B$40</definedName>
    <definedName name="BONDS" localSheetId="10">#REF!</definedName>
    <definedName name="BONDS" localSheetId="11">#REF!</definedName>
    <definedName name="BONDS">#REF!</definedName>
    <definedName name="BOOT_RANGE">[2]Curves!$D$29:$D$37</definedName>
    <definedName name="BOOT_SOLVE">[2]Curves!$Q$38</definedName>
    <definedName name="BORROW" localSheetId="10">[1]Statistics!#REF!</definedName>
    <definedName name="BORROW" localSheetId="11">[1]Statistics!#REF!</definedName>
    <definedName name="BORROW">[1]Statistics!#REF!</definedName>
    <definedName name="BSM_DIV" localSheetId="10">#REF!</definedName>
    <definedName name="BSM_DIV" localSheetId="11">#REF!</definedName>
    <definedName name="BSM_DIV">#REF!</definedName>
    <definedName name="BSM_DIVLINK" localSheetId="10">#REF!</definedName>
    <definedName name="BSM_DIVLINK" localSheetId="11">#REF!</definedName>
    <definedName name="BSM_DIVLINK">#REF!</definedName>
    <definedName name="BSM_INTRATES" localSheetId="10">#REF!</definedName>
    <definedName name="BSM_INTRATES" localSheetId="11">#REF!</definedName>
    <definedName name="BSM_INTRATES">#REF!</definedName>
    <definedName name="BSM_INTRATESLINK" localSheetId="10">#REF!</definedName>
    <definedName name="BSM_INTRATESLINK">#REF!</definedName>
    <definedName name="BSM_TIME" localSheetId="10">#REF!</definedName>
    <definedName name="BSM_TIME">#REF!</definedName>
    <definedName name="BSM_TIMELINK" localSheetId="10">#REF!</definedName>
    <definedName name="BSM_TIMELINK">#REF!</definedName>
    <definedName name="BSM_VOL" localSheetId="10">#REF!</definedName>
    <definedName name="BSM_VOL">#REF!</definedName>
    <definedName name="BSM_VOLLINK" localSheetId="10">#REF!</definedName>
    <definedName name="BSM_VOLLINK">#REF!</definedName>
    <definedName name="COMM">[1]Statistics!$B$18</definedName>
    <definedName name="CONF">[1]Statistics!$B$15</definedName>
    <definedName name="Coup_3y">'[3]Bond Returns Analysis'!$D$6</definedName>
    <definedName name="COUP1000">'[2]Boeing Bond'!$C$72</definedName>
    <definedName name="COUPON_CALC">'[2]Boeing Bond'!$C$71</definedName>
    <definedName name="CREDIT">[1]Statistics!$B$23</definedName>
    <definedName name="CURVES" localSheetId="10">#REF!</definedName>
    <definedName name="CURVES" localSheetId="11">#REF!</definedName>
    <definedName name="CURVES">#REF!</definedName>
    <definedName name="DEBIT">[1]Statistics!$B$24</definedName>
    <definedName name="DUR_COUP">'[2]Duration and Convexity'!$C$12</definedName>
    <definedName name="DUR_MATURITY">'[2]Duration and Convexity'!$C$8</definedName>
    <definedName name="DUR_MATURITY_LINK">'[2]Duration and Convexity'!$C$7</definedName>
    <definedName name="DUR_YIELD">'[2]Duration and Convexity'!$C$10</definedName>
    <definedName name="DUR_YIELD_LINK">'[2]Duration and Convexity'!$C$9</definedName>
    <definedName name="kkk" localSheetId="10">#REF!</definedName>
    <definedName name="kkk" localSheetId="11">#REF!</definedName>
    <definedName name="kkk">#REF!</definedName>
    <definedName name="LEVERAGE">[1]Statistics!$B$9</definedName>
    <definedName name="LIBOR">[1]Statistics!$B$21</definedName>
    <definedName name="Maturity">'[2]Boeing Bond'!$C$74</definedName>
    <definedName name="MAXPOSITION">[1]Statistics!$B$10</definedName>
    <definedName name="MAXSLICE">[1]Statistics!$B$12</definedName>
    <definedName name="mmm" localSheetId="10">#REF!</definedName>
    <definedName name="mmm" localSheetId="11">#REF!</definedName>
    <definedName name="mmm">#REF!</definedName>
    <definedName name="nnn" localSheetId="10">#REF!</definedName>
    <definedName name="nnn" localSheetId="11">#REF!</definedName>
    <definedName name="nnn">#REF!</definedName>
    <definedName name="ORIG_COUP">'[2]Boeing Bond'!$C$4</definedName>
    <definedName name="ORIG_MAT">'[2]Boeing Bond'!$C$9</definedName>
    <definedName name="ORIG_SETT">'[2]Boeing Bond'!$C$8</definedName>
    <definedName name="ORIG_YIELD">'[2]Boeing Bond'!$C$12</definedName>
    <definedName name="P_0">'[3]Bond Returns Analysis'!$B$13</definedName>
    <definedName name="P_1">'[3]Bond Returns Analysis'!$B$12</definedName>
    <definedName name="P_2">'[3]Bond Returns Analysis'!$B$14</definedName>
    <definedName name="P_3">'[3]Bond Returns Analysis'!$B$15</definedName>
    <definedName name="PORTA_RISK">'[2]Portfolio Optimiser'!$C$68</definedName>
    <definedName name="PORTA_RTN">'[2]Portfolio Optimiser'!$C$66</definedName>
    <definedName name="PORTA_SUMWEIGHT">'[2]Portfolio Optimiser'!$C$64</definedName>
    <definedName name="PORTA_TGT">'[2]Portfolio Optimiser'!$C$65</definedName>
    <definedName name="PORTA_WEIGHT">'[2]Portfolio Optimiser'!$C$59:$C$63</definedName>
    <definedName name="PORTB_RISK">'[2]Portfolio Optimiser'!$D$68</definedName>
    <definedName name="PORTB_RTN">'[2]Portfolio Optimiser'!$D$66</definedName>
    <definedName name="PORTB_SUMWEIGHT">'[2]Portfolio Optimiser'!$D$64</definedName>
    <definedName name="PORTB_TGT">'[2]Portfolio Optimiser'!$D$65</definedName>
    <definedName name="PORTB_WEIGHT">'[2]Portfolio Optimiser'!$D$59:$D$63</definedName>
    <definedName name="PORTC_RISK">'[2]Portfolio Optimiser'!$E$68</definedName>
    <definedName name="PORTC_RTN">'[2]Portfolio Optimiser'!$E$66</definedName>
    <definedName name="PORTC_SUMWEIGHT">'[2]Portfolio Optimiser'!$E$64</definedName>
    <definedName name="PORTC_TGT">'[2]Portfolio Optimiser'!$E$65</definedName>
    <definedName name="PORTC_WEIGHT">'[2]Portfolio Optimiser'!$E$59:$E$63</definedName>
    <definedName name="PORTD_RISK">'[2]Portfolio Optimiser'!$F$68</definedName>
    <definedName name="PORTD_RTN">'[2]Portfolio Optimiser'!$F$66</definedName>
    <definedName name="PORTD_SUMWEIGHT">'[2]Portfolio Optimiser'!$F$64</definedName>
    <definedName name="PORTD_TGT">'[2]Portfolio Optimiser'!$F$65</definedName>
    <definedName name="PORTD_WEIGHT">'[2]Portfolio Optimiser'!$F$59:$F$63</definedName>
    <definedName name="PORTE_RISK">'[2]Portfolio Optimiser'!$G$68</definedName>
    <definedName name="PORTE_RTN">'[2]Portfolio Optimiser'!$G$66</definedName>
    <definedName name="PORTE_SUMWEIGHT">'[2]Portfolio Optimiser'!$G$64</definedName>
    <definedName name="PORTE_TGT">'[2]Portfolio Optimiser'!$G$65</definedName>
    <definedName name="PORTE_WEIGHT">'[2]Portfolio Optimiser'!$G$59:$G$63</definedName>
    <definedName name="RAND_WEIGHTS">'[2]Portfolio Optimiser'!$M$3:$HD$7</definedName>
    <definedName name="SETT">'[2]Boeing Bond'!$C$73</definedName>
    <definedName name="SLIP">[1]Statistics!$B$19</definedName>
    <definedName name="SP_CLOSE">[2]Volatility!$F$1371:$F$2629</definedName>
    <definedName name="SP_LNCHG">[2]Volatility!$I$1371:$I$2628</definedName>
    <definedName name="SP_PCTCHG">[2]Volatility!$H$1371:$H$2628</definedName>
    <definedName name="STATS">'[1]MR Strategy Data'!$AW$204:$DL$2001</definedName>
    <definedName name="STRAT_DIV">[2]Strategies!$C$10</definedName>
    <definedName name="STRAT_DIVLINK">[2]Strategies!$C$9:$L$9</definedName>
    <definedName name="STRAT_INTRATES">[2]Strategies!$C$8</definedName>
    <definedName name="STRAT_INTRATESLINK">[2]Strategies!$C$7:$L$7</definedName>
    <definedName name="STRAT_TIME">[2]Strategies!$C$6</definedName>
    <definedName name="STRAT_TIMELINK">[2]Strategies!$C$5:$L$5</definedName>
    <definedName name="STRAT_VOL">[2]Strategies!$C$12</definedName>
    <definedName name="STRAT_VOLLINK">[2]Strategies!$C$11:$L$11</definedName>
    <definedName name="TODAY">[2]Instructions!$D$4</definedName>
    <definedName name="ttt" localSheetId="10">#REF!</definedName>
    <definedName name="ttt" localSheetId="11">#REF!</definedName>
    <definedName name="ttt">#REF!</definedName>
    <definedName name="uuu" localSheetId="10">#REF!</definedName>
    <definedName name="uuu" localSheetId="11">#REF!</definedName>
    <definedName name="uuu">#REF!</definedName>
    <definedName name="VARZ">[1]Statistics!$B$16</definedName>
    <definedName name="x" localSheetId="10">#REF!</definedName>
    <definedName name="x" localSheetId="11">#REF!</definedName>
    <definedName name="x">#REF!</definedName>
    <definedName name="xxx" localSheetId="10">#REF!</definedName>
    <definedName name="xxx" localSheetId="11">#REF!</definedName>
    <definedName name="xxx">#REF!</definedName>
    <definedName name="xy" localSheetId="10">#REF!</definedName>
    <definedName name="xy" localSheetId="11">#REF!</definedName>
    <definedName name="xy">#REF!</definedName>
    <definedName name="Yield_3y">'[3]Bond Returns Analysis'!$C$6</definedName>
    <definedName name="YIELD_CALC">'[2]Boeing Bond'!$C$75</definedName>
    <definedName name="YIELD1000">'[2]Boeing Bond'!$C$76</definedName>
    <definedName name="ZLONGCLOSE">[1]Statistics!$B$5</definedName>
    <definedName name="ZLONGOPEN">[1]Statistics!$B$2</definedName>
    <definedName name="ZSELLCLOSE">[1]Statistics!$B$4</definedName>
    <definedName name="ZSHORTOPEN">[1]Statistics!$B$3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0" i="36" l="1"/>
  <c r="E71" i="36" s="1"/>
  <c r="E79" i="36" s="1"/>
  <c r="D70" i="36"/>
  <c r="C70" i="36"/>
  <c r="E69" i="36"/>
  <c r="D69" i="36"/>
  <c r="C69" i="36"/>
  <c r="E68" i="36"/>
  <c r="D68" i="36"/>
  <c r="E65" i="36"/>
  <c r="E62" i="36"/>
  <c r="C62" i="36"/>
  <c r="C47" i="36"/>
  <c r="E32" i="36"/>
  <c r="E63" i="36" s="1"/>
  <c r="E30" i="36"/>
  <c r="D30" i="36"/>
  <c r="C30" i="36"/>
  <c r="E20" i="36"/>
  <c r="D20" i="36"/>
  <c r="C20" i="36"/>
  <c r="E19" i="36"/>
  <c r="E21" i="36" s="1"/>
  <c r="E34" i="36" s="1"/>
  <c r="D18" i="36"/>
  <c r="D19" i="36" s="1"/>
  <c r="D21" i="36" s="1"/>
  <c r="C18" i="36"/>
  <c r="C19" i="36" s="1"/>
  <c r="C21" i="36" s="1"/>
  <c r="D17" i="36"/>
  <c r="D62" i="36" s="1"/>
  <c r="C8" i="36"/>
  <c r="C7" i="36"/>
  <c r="E6" i="36"/>
  <c r="E35" i="36" s="1"/>
  <c r="E5" i="36"/>
  <c r="D35" i="36" s="1"/>
  <c r="E4" i="36"/>
  <c r="E8" i="36" s="1"/>
  <c r="C51" i="36" s="1"/>
  <c r="D7" i="10"/>
  <c r="D8" i="10" s="1"/>
  <c r="D9" i="10" s="1"/>
  <c r="D10" i="10" s="1"/>
  <c r="D11" i="10" s="1"/>
  <c r="D12" i="10" s="1"/>
  <c r="D13" i="10" s="1"/>
  <c r="D14" i="10" s="1"/>
  <c r="D15" i="10" s="1"/>
  <c r="D16" i="10" s="1"/>
  <c r="D17" i="10" s="1"/>
  <c r="D18" i="10" s="1"/>
  <c r="D19" i="10" s="1"/>
  <c r="D20" i="10" s="1"/>
  <c r="D21" i="10" s="1"/>
  <c r="D22" i="10" s="1"/>
  <c r="E63" i="35"/>
  <c r="C57" i="35"/>
  <c r="C56" i="35"/>
  <c r="C45" i="35"/>
  <c r="C37" i="35"/>
  <c r="C25" i="35"/>
  <c r="C58" i="35" s="1"/>
  <c r="C14" i="35"/>
  <c r="C48" i="35" s="1"/>
  <c r="C13" i="35"/>
  <c r="C47" i="35" s="1"/>
  <c r="C12" i="35"/>
  <c r="C60" i="35" s="1"/>
  <c r="C11" i="35"/>
  <c r="C59" i="35" s="1"/>
  <c r="C10" i="35"/>
  <c r="C9" i="35"/>
  <c r="C8" i="35"/>
  <c r="C40" i="35" s="1"/>
  <c r="C7" i="35"/>
  <c r="C39" i="35" s="1"/>
  <c r="C6" i="35"/>
  <c r="C33" i="35" s="1"/>
  <c r="C5" i="35"/>
  <c r="C32" i="35" s="1"/>
  <c r="E34" i="35" s="1"/>
  <c r="C44" i="34"/>
  <c r="C43" i="34"/>
  <c r="C42" i="34"/>
  <c r="C41" i="34"/>
  <c r="C40" i="34"/>
  <c r="C38" i="34"/>
  <c r="C37" i="34"/>
  <c r="C36" i="34"/>
  <c r="C35" i="34"/>
  <c r="C33" i="34"/>
  <c r="C32" i="34"/>
  <c r="C31" i="34"/>
  <c r="C30" i="34"/>
  <c r="C29" i="34"/>
  <c r="C28" i="34"/>
  <c r="C27" i="34"/>
  <c r="C26" i="34"/>
  <c r="C24" i="34"/>
  <c r="C23" i="34"/>
  <c r="C22" i="34"/>
  <c r="C21" i="34"/>
  <c r="C19" i="34"/>
  <c r="C18" i="34"/>
  <c r="C17" i="34"/>
  <c r="C16" i="34"/>
  <c r="C15" i="34"/>
  <c r="C14" i="34"/>
  <c r="C13" i="34"/>
  <c r="C12" i="34"/>
  <c r="C10" i="34"/>
  <c r="C9" i="34"/>
  <c r="C8" i="34"/>
  <c r="D8" i="34" s="1"/>
  <c r="B8" i="34"/>
  <c r="B9" i="34" s="1"/>
  <c r="B10" i="34" s="1"/>
  <c r="B11" i="34" s="1"/>
  <c r="B12" i="34" s="1"/>
  <c r="C1" i="34"/>
  <c r="C39" i="34" s="1"/>
  <c r="H11" i="32"/>
  <c r="H12" i="32" s="1"/>
  <c r="F55" i="32"/>
  <c r="D43" i="32"/>
  <c r="D41" i="32"/>
  <c r="I65" i="32" s="1"/>
  <c r="D40" i="32"/>
  <c r="I33" i="32"/>
  <c r="V33" i="32"/>
  <c r="F32" i="32"/>
  <c r="Y32" i="32"/>
  <c r="S32" i="32"/>
  <c r="I27" i="32"/>
  <c r="V27" i="32"/>
  <c r="D26" i="32"/>
  <c r="Q26" i="32"/>
  <c r="F23" i="32"/>
  <c r="S23" i="32"/>
  <c r="I19" i="32"/>
  <c r="V19" i="32"/>
  <c r="L18" i="32"/>
  <c r="L32" i="32" s="1"/>
  <c r="Y18" i="32"/>
  <c r="Y26" i="32" s="1"/>
  <c r="C41" i="35" l="1"/>
  <c r="E41" i="35" s="1"/>
  <c r="C49" i="35"/>
  <c r="C50" i="35" s="1"/>
  <c r="C51" i="35" s="1"/>
  <c r="D36" i="36"/>
  <c r="D38" i="36"/>
  <c r="E36" i="36"/>
  <c r="E37" i="36" s="1"/>
  <c r="E40" i="36" s="1"/>
  <c r="E38" i="36"/>
  <c r="E39" i="36"/>
  <c r="C32" i="36"/>
  <c r="D32" i="36"/>
  <c r="E33" i="36"/>
  <c r="E61" i="36" s="1"/>
  <c r="E64" i="36" s="1"/>
  <c r="E66" i="36" s="1"/>
  <c r="E7" i="36"/>
  <c r="C46" i="36" s="1"/>
  <c r="C48" i="36" s="1"/>
  <c r="C35" i="36"/>
  <c r="D9" i="34"/>
  <c r="D10" i="34"/>
  <c r="D17" i="34"/>
  <c r="B13" i="34"/>
  <c r="B14" i="34" s="1"/>
  <c r="B15" i="34" s="1"/>
  <c r="B16" i="34" s="1"/>
  <c r="B17" i="34" s="1"/>
  <c r="B18" i="34" s="1"/>
  <c r="B19" i="34" s="1"/>
  <c r="B20" i="34" s="1"/>
  <c r="B21" i="34" s="1"/>
  <c r="D12" i="34"/>
  <c r="D13" i="34"/>
  <c r="D14" i="34"/>
  <c r="E62" i="35"/>
  <c r="E61" i="35"/>
  <c r="C20" i="34"/>
  <c r="D20" i="34" s="1"/>
  <c r="C34" i="34"/>
  <c r="C11" i="34"/>
  <c r="D11" i="34" s="1"/>
  <c r="C25" i="34"/>
  <c r="S21" i="32"/>
  <c r="L50" i="32"/>
  <c r="L58" i="32" s="1"/>
  <c r="I51" i="32"/>
  <c r="F64" i="32"/>
  <c r="F21" i="32"/>
  <c r="F30" i="32" s="1"/>
  <c r="T30" i="32"/>
  <c r="L26" i="32"/>
  <c r="L64" i="32"/>
  <c r="G30" i="32"/>
  <c r="G21" i="32"/>
  <c r="D58" i="32"/>
  <c r="F53" i="32" s="1"/>
  <c r="I59" i="32"/>
  <c r="E73" i="36" l="1"/>
  <c r="E78" i="36"/>
  <c r="D71" i="36"/>
  <c r="D79" i="36" s="1"/>
  <c r="D63" i="36"/>
  <c r="D65" i="36"/>
  <c r="D34" i="36"/>
  <c r="D39" i="36" s="1"/>
  <c r="D37" i="36"/>
  <c r="D33" i="36"/>
  <c r="D61" i="36" s="1"/>
  <c r="D64" i="36" s="1"/>
  <c r="C36" i="36"/>
  <c r="C38" i="36"/>
  <c r="C37" i="36"/>
  <c r="C33" i="36"/>
  <c r="C63" i="36"/>
  <c r="C71" i="36"/>
  <c r="C65" i="36"/>
  <c r="C34" i="36"/>
  <c r="D21" i="34"/>
  <c r="B22" i="34"/>
  <c r="D16" i="34"/>
  <c r="D15" i="34"/>
  <c r="D19" i="34"/>
  <c r="D18" i="34"/>
  <c r="G62" i="32"/>
  <c r="I61" i="32" s="1"/>
  <c r="J63" i="32"/>
  <c r="J64" i="32" s="1"/>
  <c r="I64" i="32" s="1"/>
  <c r="I66" i="32" s="1"/>
  <c r="I21" i="32"/>
  <c r="J25" i="32"/>
  <c r="J26" i="32" s="1"/>
  <c r="I26" i="32" s="1"/>
  <c r="I28" i="32" s="1"/>
  <c r="J17" i="32"/>
  <c r="T21" i="32"/>
  <c r="I29" i="32"/>
  <c r="J31" i="32"/>
  <c r="J32" i="32" s="1"/>
  <c r="I32" i="32" s="1"/>
  <c r="I34" i="32" s="1"/>
  <c r="I63" i="32"/>
  <c r="G53" i="32"/>
  <c r="F62" i="32"/>
  <c r="V29" i="32"/>
  <c r="W31" i="32"/>
  <c r="W32" i="32" s="1"/>
  <c r="V32" i="32" s="1"/>
  <c r="V34" i="32" s="1"/>
  <c r="S30" i="32"/>
  <c r="F63" i="36" l="1"/>
  <c r="F37" i="36"/>
  <c r="F71" i="36"/>
  <c r="C79" i="36"/>
  <c r="F79" i="36" s="1"/>
  <c r="G79" i="36" s="1"/>
  <c r="C61" i="36"/>
  <c r="F33" i="36"/>
  <c r="D40" i="36"/>
  <c r="D66" i="36"/>
  <c r="C39" i="36"/>
  <c r="F39" i="36" s="1"/>
  <c r="F34" i="36"/>
  <c r="F65" i="36"/>
  <c r="B23" i="34"/>
  <c r="D22" i="34"/>
  <c r="I53" i="32"/>
  <c r="J49" i="32"/>
  <c r="J50" i="32" s="1"/>
  <c r="I50" i="32" s="1"/>
  <c r="I52" i="32" s="1"/>
  <c r="J57" i="32"/>
  <c r="J58" i="32" s="1"/>
  <c r="I58" i="32" s="1"/>
  <c r="I60" i="32" s="1"/>
  <c r="G63" i="32" s="1"/>
  <c r="F63" i="32" s="1"/>
  <c r="F65" i="32" s="1"/>
  <c r="I31" i="32"/>
  <c r="G31" i="32" s="1"/>
  <c r="F31" i="32" s="1"/>
  <c r="F33" i="32" s="1"/>
  <c r="V31" i="32"/>
  <c r="W25" i="32"/>
  <c r="W26" i="32" s="1"/>
  <c r="V28" i="32" s="1"/>
  <c r="S33" i="32" s="1"/>
  <c r="V21" i="32"/>
  <c r="J18" i="32"/>
  <c r="I18" i="32" s="1"/>
  <c r="I20" i="32" s="1"/>
  <c r="W17" i="32"/>
  <c r="W18" i="32" s="1"/>
  <c r="V18" i="32" s="1"/>
  <c r="V20" i="32" s="1"/>
  <c r="I25" i="32"/>
  <c r="G22" i="32" s="1"/>
  <c r="F22" i="32" s="1"/>
  <c r="F24" i="32" s="1"/>
  <c r="D78" i="36" l="1"/>
  <c r="D73" i="36"/>
  <c r="F61" i="36"/>
  <c r="C64" i="36"/>
  <c r="C40" i="36"/>
  <c r="F40" i="36" s="1"/>
  <c r="B24" i="34"/>
  <c r="D23" i="34"/>
  <c r="D27" i="32"/>
  <c r="C27" i="32" s="1"/>
  <c r="D10" i="32" s="1"/>
  <c r="D11" i="32" s="1"/>
  <c r="I57" i="32"/>
  <c r="G54" i="32" s="1"/>
  <c r="F54" i="32" s="1"/>
  <c r="F56" i="32" s="1"/>
  <c r="D59" i="32" s="1"/>
  <c r="C59" i="32" s="1"/>
  <c r="D42" i="32" s="1"/>
  <c r="D44" i="32" s="1"/>
  <c r="V25" i="32"/>
  <c r="T22" i="32" s="1"/>
  <c r="S22" i="32" s="1"/>
  <c r="S24" i="32" s="1"/>
  <c r="Q27" i="32" s="1"/>
  <c r="P27" i="32" s="1"/>
  <c r="Q10" i="32" s="1"/>
  <c r="Q12" i="32" s="1"/>
  <c r="F64" i="36" l="1"/>
  <c r="F66" i="36" s="1"/>
  <c r="F73" i="36" s="1"/>
  <c r="F75" i="36" s="1"/>
  <c r="C66" i="36"/>
  <c r="B25" i="34"/>
  <c r="D24" i="34"/>
  <c r="Q13" i="32"/>
  <c r="D45" i="32"/>
  <c r="G43" i="32"/>
  <c r="G44" i="32" s="1"/>
  <c r="C73" i="36" l="1"/>
  <c r="C78" i="36"/>
  <c r="F78" i="36" s="1"/>
  <c r="B26" i="34"/>
  <c r="D25" i="34"/>
  <c r="E15" i="5"/>
  <c r="E14" i="5"/>
  <c r="E8" i="5"/>
  <c r="E9" i="5"/>
  <c r="F9" i="31"/>
  <c r="F19" i="31"/>
  <c r="C15" i="31"/>
  <c r="G15" i="31"/>
  <c r="F15" i="31"/>
  <c r="B19" i="31"/>
  <c r="B18" i="31"/>
  <c r="B14" i="31"/>
  <c r="F80" i="36" l="1"/>
  <c r="G80" i="36" s="1"/>
  <c r="G78" i="36"/>
  <c r="D26" i="34"/>
  <c r="B27" i="34"/>
  <c r="B28" i="34" l="1"/>
  <c r="D27" i="34"/>
  <c r="D24" i="7"/>
  <c r="D25" i="7"/>
  <c r="D31" i="7"/>
  <c r="D32" i="7"/>
  <c r="D38" i="7"/>
  <c r="D39" i="7"/>
  <c r="D45" i="7"/>
  <c r="D46" i="7"/>
  <c r="D52" i="7"/>
  <c r="D53" i="7"/>
  <c r="D59" i="7"/>
  <c r="D60" i="7"/>
  <c r="D66" i="7"/>
  <c r="D67" i="7"/>
  <c r="D73" i="7"/>
  <c r="D74" i="7"/>
  <c r="D80" i="7"/>
  <c r="D81" i="7"/>
  <c r="D87" i="7"/>
  <c r="D88" i="7"/>
  <c r="D94" i="7"/>
  <c r="D95" i="7"/>
  <c r="D101" i="7"/>
  <c r="D102" i="7"/>
  <c r="D108" i="7"/>
  <c r="D109" i="7"/>
  <c r="D19" i="7"/>
  <c r="D6" i="7"/>
  <c r="C26" i="27"/>
  <c r="C27" i="27"/>
  <c r="C33" i="27"/>
  <c r="C34" i="27"/>
  <c r="C40" i="27"/>
  <c r="C41" i="27"/>
  <c r="C47" i="27"/>
  <c r="C48" i="27"/>
  <c r="C54" i="27"/>
  <c r="C55" i="27"/>
  <c r="C61" i="27"/>
  <c r="C62" i="27"/>
  <c r="C68" i="27"/>
  <c r="C69" i="27"/>
  <c r="C75" i="27"/>
  <c r="C76" i="27"/>
  <c r="C82" i="27"/>
  <c r="C83" i="27"/>
  <c r="C89" i="27"/>
  <c r="C90" i="27"/>
  <c r="C96" i="27"/>
  <c r="C97" i="27"/>
  <c r="C103" i="27"/>
  <c r="C104" i="27"/>
  <c r="C110" i="27"/>
  <c r="C111" i="27"/>
  <c r="C6" i="27"/>
  <c r="AE4" i="28" a="1"/>
  <c r="AE4" i="28" s="1"/>
  <c r="AC5" i="28"/>
  <c r="AD5" i="28" s="1"/>
  <c r="AE5" i="28" s="1" a="1"/>
  <c r="AE5" i="28" s="1"/>
  <c r="AC4" i="28"/>
  <c r="B5" i="28"/>
  <c r="B4" i="28"/>
  <c r="C23" i="10"/>
  <c r="H9" i="28"/>
  <c r="J9" i="28" s="1"/>
  <c r="H2" i="28"/>
  <c r="H6" i="28" s="1"/>
  <c r="J6" i="28" s="1"/>
  <c r="B29" i="34" l="1"/>
  <c r="D28" i="34"/>
  <c r="B7" i="7"/>
  <c r="B20" i="7"/>
  <c r="A5" i="28"/>
  <c r="B6" i="28"/>
  <c r="H7" i="28"/>
  <c r="I7" i="28" s="1"/>
  <c r="B19" i="7"/>
  <c r="B6" i="7"/>
  <c r="A4" i="28"/>
  <c r="J7" i="28"/>
  <c r="H4" i="28"/>
  <c r="H5" i="28"/>
  <c r="H8" i="28"/>
  <c r="J8" i="28" s="1"/>
  <c r="I6" i="28"/>
  <c r="I9" i="28"/>
  <c r="C7" i="27"/>
  <c r="C8" i="27" s="1"/>
  <c r="C9" i="27" s="1"/>
  <c r="C10" i="27" s="1"/>
  <c r="C11" i="27" s="1"/>
  <c r="C12" i="27" s="1"/>
  <c r="C13" i="27" s="1"/>
  <c r="B30" i="34" l="1"/>
  <c r="D29" i="34"/>
  <c r="A6" i="7"/>
  <c r="A19" i="7"/>
  <c r="A7" i="7"/>
  <c r="A20" i="7"/>
  <c r="B21" i="7"/>
  <c r="B7" i="28"/>
  <c r="AC6" i="28"/>
  <c r="AD6" i="28" s="1"/>
  <c r="AE6" i="28" s="1" a="1"/>
  <c r="AE6" i="28" s="1"/>
  <c r="A6" i="28"/>
  <c r="B8" i="7"/>
  <c r="I4" i="28"/>
  <c r="J4" i="28"/>
  <c r="I5" i="28"/>
  <c r="J5" i="28"/>
  <c r="I8" i="28"/>
  <c r="B31" i="34" l="1"/>
  <c r="D30" i="34"/>
  <c r="A21" i="7"/>
  <c r="A8" i="7"/>
  <c r="B9" i="7"/>
  <c r="B22" i="7"/>
  <c r="AC7" i="28"/>
  <c r="AD7" i="28" s="1"/>
  <c r="B8" i="28"/>
  <c r="A7" i="28"/>
  <c r="B32" i="34" l="1"/>
  <c r="D31" i="34"/>
  <c r="AE7" i="28" a="1"/>
  <c r="AE7" i="28" s="1"/>
  <c r="B10" i="7"/>
  <c r="B23" i="7"/>
  <c r="AC8" i="28"/>
  <c r="AD8" i="28" s="1"/>
  <c r="A8" i="28"/>
  <c r="B9" i="28"/>
  <c r="A9" i="7"/>
  <c r="A22" i="7"/>
  <c r="B33" i="34" l="1"/>
  <c r="D32" i="34"/>
  <c r="AE8" i="28" a="1"/>
  <c r="AE8" i="28" s="1"/>
  <c r="B11" i="7"/>
  <c r="B24" i="7"/>
  <c r="AC9" i="28"/>
  <c r="AD9" i="28" s="1"/>
  <c r="A9" i="28"/>
  <c r="B10" i="28"/>
  <c r="A10" i="7"/>
  <c r="A23" i="7"/>
  <c r="B34" i="34" l="1"/>
  <c r="D33" i="34"/>
  <c r="AE9" i="28" a="1"/>
  <c r="AE9" i="28" s="1"/>
  <c r="A11" i="7"/>
  <c r="C9" i="28"/>
  <c r="A24" i="7"/>
  <c r="A10" i="28"/>
  <c r="B25" i="7"/>
  <c r="B12" i="7"/>
  <c r="AC10" i="28"/>
  <c r="AD10" i="28" s="1"/>
  <c r="B11" i="28"/>
  <c r="B24" i="21"/>
  <c r="B23" i="21"/>
  <c r="F7" i="21"/>
  <c r="I6" i="21"/>
  <c r="I7" i="21" s="1"/>
  <c r="J7" i="21" s="1"/>
  <c r="C7" i="21"/>
  <c r="C6" i="21"/>
  <c r="G6" i="21" s="1"/>
  <c r="B35" i="34" l="1"/>
  <c r="D34" i="34"/>
  <c r="AE10" i="28" a="1"/>
  <c r="AE10" i="28" s="1"/>
  <c r="A11" i="28"/>
  <c r="B26" i="7"/>
  <c r="B13" i="7"/>
  <c r="B12" i="28"/>
  <c r="AC11" i="28"/>
  <c r="AD11" i="28" s="1"/>
  <c r="A12" i="7"/>
  <c r="A25" i="7"/>
  <c r="C10" i="28"/>
  <c r="C11" i="7"/>
  <c r="C24" i="7"/>
  <c r="E7" i="21"/>
  <c r="D6" i="21"/>
  <c r="H6" i="21"/>
  <c r="K6" i="21" s="1"/>
  <c r="D7" i="21"/>
  <c r="J6" i="21"/>
  <c r="E6" i="21"/>
  <c r="D35" i="34" l="1"/>
  <c r="B36" i="34"/>
  <c r="AE11" i="28" a="1"/>
  <c r="AE11" i="28" s="1"/>
  <c r="C25" i="7"/>
  <c r="C12" i="7"/>
  <c r="A12" i="28"/>
  <c r="B27" i="7"/>
  <c r="AC12" i="28"/>
  <c r="AD12" i="28" s="1"/>
  <c r="B13" i="28"/>
  <c r="A26" i="7"/>
  <c r="A13" i="7"/>
  <c r="B37" i="34" l="1"/>
  <c r="D36" i="34"/>
  <c r="AE12" i="28" a="1"/>
  <c r="AE12" i="28" s="1"/>
  <c r="B28" i="7"/>
  <c r="AC13" i="28"/>
  <c r="AD13" i="28" s="1"/>
  <c r="A13" i="28"/>
  <c r="B14" i="28"/>
  <c r="A27" i="7"/>
  <c r="G7" i="21"/>
  <c r="B38" i="34" l="1"/>
  <c r="D37" i="34"/>
  <c r="AE13" i="28" a="1"/>
  <c r="AE13" i="28" s="1"/>
  <c r="B29" i="7"/>
  <c r="AC14" i="28"/>
  <c r="AD14" i="28" s="1"/>
  <c r="B15" i="28"/>
  <c r="A14" i="28"/>
  <c r="A28" i="7"/>
  <c r="J8" i="21"/>
  <c r="F25" i="21" s="1"/>
  <c r="H7" i="21"/>
  <c r="K7" i="21" s="1"/>
  <c r="K8" i="21" s="1"/>
  <c r="B39" i="34" l="1"/>
  <c r="D38" i="34"/>
  <c r="AE14" i="28" a="1"/>
  <c r="AE14" i="28" s="1"/>
  <c r="A29" i="7"/>
  <c r="B30" i="7"/>
  <c r="AC15" i="28"/>
  <c r="AD15" i="28" s="1"/>
  <c r="A15" i="28"/>
  <c r="B16" i="28"/>
  <c r="C25" i="21"/>
  <c r="B40" i="34" l="1"/>
  <c r="D39" i="34"/>
  <c r="AE15" i="28" a="1"/>
  <c r="AE15" i="28" s="1"/>
  <c r="B31" i="7"/>
  <c r="AC16" i="28"/>
  <c r="AD16" i="28" s="1"/>
  <c r="E16" i="28"/>
  <c r="A16" i="28"/>
  <c r="B17" i="28"/>
  <c r="A30" i="7"/>
  <c r="AC403" i="20"/>
  <c r="AB403" i="20"/>
  <c r="W403" i="20"/>
  <c r="U403" i="20"/>
  <c r="S403" i="20"/>
  <c r="P403" i="20"/>
  <c r="AD403" i="20" s="1"/>
  <c r="M403" i="20"/>
  <c r="L403" i="20"/>
  <c r="K403" i="20"/>
  <c r="J403" i="20"/>
  <c r="I403" i="20"/>
  <c r="H403" i="20"/>
  <c r="G403" i="20"/>
  <c r="F403" i="20"/>
  <c r="E403" i="20"/>
  <c r="D403" i="20"/>
  <c r="AC402" i="20"/>
  <c r="AB402" i="20"/>
  <c r="W402" i="20"/>
  <c r="U402" i="20"/>
  <c r="S402" i="20"/>
  <c r="P402" i="20"/>
  <c r="AD402" i="20" s="1"/>
  <c r="M402" i="20"/>
  <c r="L402" i="20"/>
  <c r="K402" i="20"/>
  <c r="J402" i="20"/>
  <c r="I402" i="20"/>
  <c r="H402" i="20"/>
  <c r="G402" i="20"/>
  <c r="F402" i="20"/>
  <c r="E402" i="20"/>
  <c r="D402" i="20"/>
  <c r="AC401" i="20"/>
  <c r="AB401" i="20"/>
  <c r="W401" i="20"/>
  <c r="U401" i="20"/>
  <c r="S401" i="20"/>
  <c r="P401" i="20"/>
  <c r="AD401" i="20" s="1"/>
  <c r="M401" i="20"/>
  <c r="L401" i="20"/>
  <c r="K401" i="20"/>
  <c r="J401" i="20"/>
  <c r="I401" i="20"/>
  <c r="H401" i="20"/>
  <c r="G401" i="20"/>
  <c r="F401" i="20"/>
  <c r="E401" i="20"/>
  <c r="D401" i="20"/>
  <c r="AC400" i="20"/>
  <c r="AB400" i="20"/>
  <c r="W400" i="20"/>
  <c r="U400" i="20"/>
  <c r="S400" i="20"/>
  <c r="P400" i="20"/>
  <c r="AD400" i="20" s="1"/>
  <c r="M400" i="20"/>
  <c r="L400" i="20"/>
  <c r="K400" i="20"/>
  <c r="J400" i="20"/>
  <c r="I400" i="20"/>
  <c r="H400" i="20"/>
  <c r="G400" i="20"/>
  <c r="F400" i="20"/>
  <c r="E400" i="20"/>
  <c r="D400" i="20"/>
  <c r="AC399" i="20"/>
  <c r="AB399" i="20"/>
  <c r="X399" i="20"/>
  <c r="W399" i="20"/>
  <c r="U399" i="20"/>
  <c r="S399" i="20"/>
  <c r="P399" i="20"/>
  <c r="AD399" i="20" s="1"/>
  <c r="M399" i="20"/>
  <c r="L399" i="20"/>
  <c r="K399" i="20"/>
  <c r="J399" i="20"/>
  <c r="I399" i="20"/>
  <c r="H399" i="20"/>
  <c r="G399" i="20"/>
  <c r="F399" i="20"/>
  <c r="E399" i="20"/>
  <c r="D399" i="20"/>
  <c r="AC398" i="20"/>
  <c r="AB398" i="20"/>
  <c r="X398" i="20"/>
  <c r="W398" i="20"/>
  <c r="U398" i="20"/>
  <c r="S398" i="20"/>
  <c r="P398" i="20"/>
  <c r="AD398" i="20" s="1"/>
  <c r="M398" i="20"/>
  <c r="L398" i="20"/>
  <c r="K398" i="20"/>
  <c r="J398" i="20"/>
  <c r="I398" i="20"/>
  <c r="H398" i="20"/>
  <c r="G398" i="20"/>
  <c r="F398" i="20"/>
  <c r="E398" i="20"/>
  <c r="D398" i="20"/>
  <c r="AC397" i="20"/>
  <c r="AB397" i="20"/>
  <c r="X397" i="20"/>
  <c r="W397" i="20"/>
  <c r="U397" i="20"/>
  <c r="S397" i="20"/>
  <c r="P397" i="20"/>
  <c r="AD397" i="20" s="1"/>
  <c r="M397" i="20"/>
  <c r="L397" i="20"/>
  <c r="K397" i="20"/>
  <c r="J397" i="20"/>
  <c r="I397" i="20"/>
  <c r="H397" i="20"/>
  <c r="G397" i="20"/>
  <c r="F397" i="20"/>
  <c r="E397" i="20"/>
  <c r="D397" i="20"/>
  <c r="AC396" i="20"/>
  <c r="AB396" i="20"/>
  <c r="X396" i="20"/>
  <c r="W396" i="20"/>
  <c r="U396" i="20"/>
  <c r="S396" i="20"/>
  <c r="P396" i="20"/>
  <c r="AD396" i="20" s="1"/>
  <c r="M396" i="20"/>
  <c r="L396" i="20"/>
  <c r="K396" i="20"/>
  <c r="J396" i="20"/>
  <c r="I396" i="20"/>
  <c r="H396" i="20"/>
  <c r="G396" i="20"/>
  <c r="F396" i="20"/>
  <c r="E396" i="20"/>
  <c r="D396" i="20"/>
  <c r="AC395" i="20"/>
  <c r="AB395" i="20"/>
  <c r="X395" i="20"/>
  <c r="W395" i="20"/>
  <c r="U395" i="20"/>
  <c r="S395" i="20"/>
  <c r="P395" i="20"/>
  <c r="AD395" i="20" s="1"/>
  <c r="M395" i="20"/>
  <c r="L395" i="20"/>
  <c r="K395" i="20"/>
  <c r="J395" i="20"/>
  <c r="I395" i="20"/>
  <c r="H395" i="20"/>
  <c r="G395" i="20"/>
  <c r="F395" i="20"/>
  <c r="E395" i="20"/>
  <c r="D395" i="20"/>
  <c r="AC394" i="20"/>
  <c r="AB394" i="20"/>
  <c r="X394" i="20"/>
  <c r="W394" i="20"/>
  <c r="U394" i="20"/>
  <c r="S394" i="20"/>
  <c r="P394" i="20"/>
  <c r="AD394" i="20" s="1"/>
  <c r="M394" i="20"/>
  <c r="L394" i="20"/>
  <c r="K394" i="20"/>
  <c r="J394" i="20"/>
  <c r="I394" i="20"/>
  <c r="H394" i="20"/>
  <c r="G394" i="20"/>
  <c r="F394" i="20"/>
  <c r="E394" i="20"/>
  <c r="D394" i="20"/>
  <c r="AC393" i="20"/>
  <c r="AB393" i="20"/>
  <c r="X393" i="20"/>
  <c r="W393" i="20"/>
  <c r="U393" i="20"/>
  <c r="S393" i="20"/>
  <c r="P393" i="20"/>
  <c r="AD393" i="20" s="1"/>
  <c r="M393" i="20"/>
  <c r="L393" i="20"/>
  <c r="K393" i="20"/>
  <c r="J393" i="20"/>
  <c r="I393" i="20"/>
  <c r="H393" i="20"/>
  <c r="G393" i="20"/>
  <c r="F393" i="20"/>
  <c r="E393" i="20"/>
  <c r="D393" i="20"/>
  <c r="AC392" i="20"/>
  <c r="AB392" i="20"/>
  <c r="X392" i="20"/>
  <c r="W392" i="20"/>
  <c r="U392" i="20"/>
  <c r="S392" i="20"/>
  <c r="P392" i="20"/>
  <c r="AD392" i="20" s="1"/>
  <c r="M392" i="20"/>
  <c r="L392" i="20"/>
  <c r="K392" i="20"/>
  <c r="J392" i="20"/>
  <c r="I392" i="20"/>
  <c r="H392" i="20"/>
  <c r="G392" i="20"/>
  <c r="F392" i="20"/>
  <c r="E392" i="20"/>
  <c r="D392" i="20"/>
  <c r="AC391" i="20"/>
  <c r="AB391" i="20"/>
  <c r="X391" i="20"/>
  <c r="W391" i="20"/>
  <c r="U391" i="20"/>
  <c r="S391" i="20"/>
  <c r="P391" i="20"/>
  <c r="AD391" i="20" s="1"/>
  <c r="M391" i="20"/>
  <c r="L391" i="20"/>
  <c r="K391" i="20"/>
  <c r="J391" i="20"/>
  <c r="I391" i="20"/>
  <c r="H391" i="20"/>
  <c r="G391" i="20"/>
  <c r="F391" i="20"/>
  <c r="E391" i="20"/>
  <c r="D391" i="20"/>
  <c r="AC390" i="20"/>
  <c r="AB390" i="20"/>
  <c r="X390" i="20"/>
  <c r="W390" i="20"/>
  <c r="U390" i="20"/>
  <c r="S390" i="20"/>
  <c r="P390" i="20"/>
  <c r="AD390" i="20" s="1"/>
  <c r="M390" i="20"/>
  <c r="L390" i="20"/>
  <c r="K390" i="20"/>
  <c r="J390" i="20"/>
  <c r="I390" i="20"/>
  <c r="H390" i="20"/>
  <c r="G390" i="20"/>
  <c r="F390" i="20"/>
  <c r="E390" i="20"/>
  <c r="D390" i="20"/>
  <c r="AC389" i="20"/>
  <c r="AB389" i="20"/>
  <c r="AA389" i="20"/>
  <c r="Z389" i="20"/>
  <c r="X389" i="20"/>
  <c r="W389" i="20"/>
  <c r="V389" i="20"/>
  <c r="U389" i="20"/>
  <c r="S389" i="20"/>
  <c r="P389" i="20"/>
  <c r="AD389" i="20" s="1"/>
  <c r="M389" i="20"/>
  <c r="L389" i="20"/>
  <c r="K389" i="20"/>
  <c r="J389" i="20"/>
  <c r="I389" i="20"/>
  <c r="H389" i="20"/>
  <c r="G389" i="20"/>
  <c r="F389" i="20"/>
  <c r="E389" i="20"/>
  <c r="D389" i="20"/>
  <c r="AD388" i="20"/>
  <c r="AC388" i="20"/>
  <c r="AB388" i="20"/>
  <c r="AA388" i="20"/>
  <c r="Z388" i="20"/>
  <c r="X388" i="20"/>
  <c r="W388" i="20"/>
  <c r="T388" i="20" s="1"/>
  <c r="R388" i="20" s="1"/>
  <c r="V388" i="20"/>
  <c r="U388" i="20"/>
  <c r="S388" i="20"/>
  <c r="P388" i="20"/>
  <c r="Y388" i="20" s="1"/>
  <c r="M388" i="20"/>
  <c r="L388" i="20"/>
  <c r="K388" i="20"/>
  <c r="J388" i="20"/>
  <c r="I388" i="20"/>
  <c r="H388" i="20"/>
  <c r="G388" i="20"/>
  <c r="F388" i="20"/>
  <c r="E388" i="20"/>
  <c r="D388" i="20"/>
  <c r="AD387" i="20"/>
  <c r="AC387" i="20"/>
  <c r="AB387" i="20"/>
  <c r="AA387" i="20"/>
  <c r="Z387" i="20"/>
  <c r="X387" i="20"/>
  <c r="W387" i="20"/>
  <c r="V387" i="20"/>
  <c r="U387" i="20"/>
  <c r="S387" i="20"/>
  <c r="P387" i="20"/>
  <c r="Y387" i="20" s="1"/>
  <c r="M387" i="20"/>
  <c r="L387" i="20"/>
  <c r="K387" i="20"/>
  <c r="J387" i="20"/>
  <c r="I387" i="20"/>
  <c r="H387" i="20"/>
  <c r="G387" i="20"/>
  <c r="F387" i="20"/>
  <c r="E387" i="20"/>
  <c r="D387" i="20"/>
  <c r="AD386" i="20"/>
  <c r="AC386" i="20"/>
  <c r="AB386" i="20"/>
  <c r="AA386" i="20"/>
  <c r="Z386" i="20"/>
  <c r="X386" i="20"/>
  <c r="W386" i="20"/>
  <c r="V386" i="20"/>
  <c r="U386" i="20"/>
  <c r="S386" i="20"/>
  <c r="P386" i="20"/>
  <c r="Y386" i="20" s="1"/>
  <c r="M386" i="20"/>
  <c r="L386" i="20"/>
  <c r="K386" i="20"/>
  <c r="J386" i="20"/>
  <c r="I386" i="20"/>
  <c r="H386" i="20"/>
  <c r="G386" i="20"/>
  <c r="F386" i="20"/>
  <c r="E386" i="20"/>
  <c r="D386" i="20"/>
  <c r="AD385" i="20"/>
  <c r="AC385" i="20"/>
  <c r="AB385" i="20"/>
  <c r="AA385" i="20"/>
  <c r="Z385" i="20"/>
  <c r="X385" i="20"/>
  <c r="W385" i="20"/>
  <c r="V385" i="20"/>
  <c r="U385" i="20"/>
  <c r="S385" i="20"/>
  <c r="P385" i="20"/>
  <c r="Y385" i="20" s="1"/>
  <c r="M385" i="20"/>
  <c r="L385" i="20"/>
  <c r="K385" i="20"/>
  <c r="J385" i="20"/>
  <c r="I385" i="20"/>
  <c r="H385" i="20"/>
  <c r="G385" i="20"/>
  <c r="F385" i="20"/>
  <c r="E385" i="20"/>
  <c r="D385" i="20"/>
  <c r="AD384" i="20"/>
  <c r="AC384" i="20"/>
  <c r="AB384" i="20"/>
  <c r="AA384" i="20"/>
  <c r="Z384" i="20"/>
  <c r="X384" i="20"/>
  <c r="W384" i="20"/>
  <c r="V384" i="20"/>
  <c r="U384" i="20"/>
  <c r="S384" i="20"/>
  <c r="P384" i="20"/>
  <c r="Y384" i="20" s="1"/>
  <c r="M384" i="20"/>
  <c r="L384" i="20"/>
  <c r="K384" i="20"/>
  <c r="J384" i="20"/>
  <c r="I384" i="20"/>
  <c r="H384" i="20"/>
  <c r="G384" i="20"/>
  <c r="F384" i="20"/>
  <c r="E384" i="20"/>
  <c r="D384" i="20"/>
  <c r="AD383" i="20"/>
  <c r="AC383" i="20"/>
  <c r="AB383" i="20"/>
  <c r="AA383" i="20"/>
  <c r="Z383" i="20"/>
  <c r="X383" i="20"/>
  <c r="W383" i="20"/>
  <c r="V383" i="20"/>
  <c r="U383" i="20"/>
  <c r="S383" i="20"/>
  <c r="P383" i="20"/>
  <c r="Y383" i="20" s="1"/>
  <c r="M383" i="20"/>
  <c r="L383" i="20"/>
  <c r="K383" i="20"/>
  <c r="J383" i="20"/>
  <c r="I383" i="20"/>
  <c r="H383" i="20"/>
  <c r="G383" i="20"/>
  <c r="F383" i="20"/>
  <c r="E383" i="20"/>
  <c r="D383" i="20"/>
  <c r="T383" i="20" s="1"/>
  <c r="R383" i="20" s="1"/>
  <c r="AD382" i="20"/>
  <c r="AC382" i="20"/>
  <c r="AB382" i="20"/>
  <c r="AA382" i="20"/>
  <c r="Z382" i="20"/>
  <c r="X382" i="20"/>
  <c r="W382" i="20"/>
  <c r="T382" i="20" s="1"/>
  <c r="R382" i="20" s="1"/>
  <c r="V382" i="20"/>
  <c r="U382" i="20"/>
  <c r="S382" i="20"/>
  <c r="P382" i="20"/>
  <c r="Y382" i="20" s="1"/>
  <c r="M382" i="20"/>
  <c r="L382" i="20"/>
  <c r="K382" i="20"/>
  <c r="J382" i="20"/>
  <c r="I382" i="20"/>
  <c r="H382" i="20"/>
  <c r="G382" i="20"/>
  <c r="F382" i="20"/>
  <c r="E382" i="20"/>
  <c r="D382" i="20"/>
  <c r="AD381" i="20"/>
  <c r="AC381" i="20"/>
  <c r="AB381" i="20"/>
  <c r="AA381" i="20"/>
  <c r="Z381" i="20"/>
  <c r="X381" i="20"/>
  <c r="W381" i="20"/>
  <c r="V381" i="20"/>
  <c r="U381" i="20"/>
  <c r="T381" i="20"/>
  <c r="R381" i="20" s="1"/>
  <c r="S381" i="20"/>
  <c r="P381" i="20"/>
  <c r="Y381" i="20" s="1"/>
  <c r="M381" i="20"/>
  <c r="L381" i="20"/>
  <c r="K381" i="20"/>
  <c r="J381" i="20"/>
  <c r="I381" i="20"/>
  <c r="H381" i="20"/>
  <c r="G381" i="20"/>
  <c r="F381" i="20"/>
  <c r="E381" i="20"/>
  <c r="D381" i="20"/>
  <c r="AD380" i="20"/>
  <c r="AC380" i="20"/>
  <c r="AB380" i="20"/>
  <c r="AA380" i="20"/>
  <c r="Z380" i="20"/>
  <c r="X380" i="20"/>
  <c r="W380" i="20"/>
  <c r="T380" i="20" s="1"/>
  <c r="R380" i="20" s="1"/>
  <c r="V380" i="20"/>
  <c r="U380" i="20"/>
  <c r="S380" i="20"/>
  <c r="P380" i="20"/>
  <c r="Y380" i="20" s="1"/>
  <c r="M380" i="20"/>
  <c r="L380" i="20"/>
  <c r="K380" i="20"/>
  <c r="J380" i="20"/>
  <c r="I380" i="20"/>
  <c r="H380" i="20"/>
  <c r="G380" i="20"/>
  <c r="F380" i="20"/>
  <c r="E380" i="20"/>
  <c r="D380" i="20"/>
  <c r="AD379" i="20"/>
  <c r="AC379" i="20"/>
  <c r="AB379" i="20"/>
  <c r="AA379" i="20"/>
  <c r="Z379" i="20"/>
  <c r="X379" i="20"/>
  <c r="W379" i="20"/>
  <c r="V379" i="20"/>
  <c r="U379" i="20"/>
  <c r="S379" i="20"/>
  <c r="P379" i="20"/>
  <c r="Y379" i="20" s="1"/>
  <c r="M379" i="20"/>
  <c r="L379" i="20"/>
  <c r="K379" i="20"/>
  <c r="J379" i="20"/>
  <c r="I379" i="20"/>
  <c r="H379" i="20"/>
  <c r="G379" i="20"/>
  <c r="F379" i="20"/>
  <c r="E379" i="20"/>
  <c r="D379" i="20"/>
  <c r="T379" i="20" s="1"/>
  <c r="R379" i="20" s="1"/>
  <c r="AD378" i="20"/>
  <c r="AC378" i="20"/>
  <c r="AB378" i="20"/>
  <c r="AA378" i="20"/>
  <c r="Z378" i="20"/>
  <c r="X378" i="20"/>
  <c r="W378" i="20"/>
  <c r="V378" i="20"/>
  <c r="U378" i="20"/>
  <c r="S378" i="20"/>
  <c r="P378" i="20"/>
  <c r="Y378" i="20" s="1"/>
  <c r="T378" i="20" s="1"/>
  <c r="R378" i="20" s="1"/>
  <c r="M378" i="20"/>
  <c r="L378" i="20"/>
  <c r="K378" i="20"/>
  <c r="J378" i="20"/>
  <c r="I378" i="20"/>
  <c r="H378" i="20"/>
  <c r="G378" i="20"/>
  <c r="F378" i="20"/>
  <c r="E378" i="20"/>
  <c r="D378" i="20"/>
  <c r="AD377" i="20"/>
  <c r="AC377" i="20"/>
  <c r="AB377" i="20"/>
  <c r="AA377" i="20"/>
  <c r="Z377" i="20"/>
  <c r="X377" i="20"/>
  <c r="W377" i="20"/>
  <c r="V377" i="20"/>
  <c r="U377" i="20"/>
  <c r="T377" i="20"/>
  <c r="R377" i="20" s="1"/>
  <c r="S377" i="20"/>
  <c r="P377" i="20"/>
  <c r="Y377" i="20" s="1"/>
  <c r="M377" i="20"/>
  <c r="L377" i="20"/>
  <c r="K377" i="20"/>
  <c r="J377" i="20"/>
  <c r="I377" i="20"/>
  <c r="H377" i="20"/>
  <c r="G377" i="20"/>
  <c r="F377" i="20"/>
  <c r="E377" i="20"/>
  <c r="D377" i="20"/>
  <c r="AD376" i="20"/>
  <c r="AC376" i="20"/>
  <c r="AB376" i="20"/>
  <c r="AA376" i="20"/>
  <c r="Z376" i="20"/>
  <c r="X376" i="20"/>
  <c r="W376" i="20"/>
  <c r="T376" i="20" s="1"/>
  <c r="R376" i="20" s="1"/>
  <c r="V376" i="20"/>
  <c r="U376" i="20"/>
  <c r="S376" i="20"/>
  <c r="P376" i="20"/>
  <c r="Y376" i="20" s="1"/>
  <c r="M376" i="20"/>
  <c r="L376" i="20"/>
  <c r="K376" i="20"/>
  <c r="J376" i="20"/>
  <c r="I376" i="20"/>
  <c r="H376" i="20"/>
  <c r="G376" i="20"/>
  <c r="F376" i="20"/>
  <c r="E376" i="20"/>
  <c r="D376" i="20"/>
  <c r="AD375" i="20"/>
  <c r="AC375" i="20"/>
  <c r="AB375" i="20"/>
  <c r="AA375" i="20"/>
  <c r="Z375" i="20"/>
  <c r="X375" i="20"/>
  <c r="W375" i="20"/>
  <c r="V375" i="20"/>
  <c r="U375" i="20"/>
  <c r="S375" i="20"/>
  <c r="P375" i="20"/>
  <c r="Y375" i="20" s="1"/>
  <c r="M375" i="20"/>
  <c r="L375" i="20"/>
  <c r="K375" i="20"/>
  <c r="J375" i="20"/>
  <c r="I375" i="20"/>
  <c r="H375" i="20"/>
  <c r="G375" i="20"/>
  <c r="F375" i="20"/>
  <c r="E375" i="20"/>
  <c r="D375" i="20"/>
  <c r="T375" i="20" s="1"/>
  <c r="R375" i="20" s="1"/>
  <c r="AD374" i="20"/>
  <c r="AC374" i="20"/>
  <c r="AB374" i="20"/>
  <c r="AA374" i="20"/>
  <c r="Z374" i="20"/>
  <c r="X374" i="20"/>
  <c r="W374" i="20"/>
  <c r="V374" i="20"/>
  <c r="U374" i="20"/>
  <c r="S374" i="20"/>
  <c r="P374" i="20"/>
  <c r="Y374" i="20" s="1"/>
  <c r="T374" i="20" s="1"/>
  <c r="R374" i="20" s="1"/>
  <c r="M374" i="20"/>
  <c r="L374" i="20"/>
  <c r="K374" i="20"/>
  <c r="J374" i="20"/>
  <c r="I374" i="20"/>
  <c r="H374" i="20"/>
  <c r="G374" i="20"/>
  <c r="F374" i="20"/>
  <c r="E374" i="20"/>
  <c r="D374" i="20"/>
  <c r="AD373" i="20"/>
  <c r="AC373" i="20"/>
  <c r="AB373" i="20"/>
  <c r="AA373" i="20"/>
  <c r="Z373" i="20"/>
  <c r="X373" i="20"/>
  <c r="W373" i="20"/>
  <c r="V373" i="20"/>
  <c r="U373" i="20"/>
  <c r="T373" i="20"/>
  <c r="R373" i="20" s="1"/>
  <c r="S373" i="20"/>
  <c r="P373" i="20"/>
  <c r="Y373" i="20" s="1"/>
  <c r="M373" i="20"/>
  <c r="L373" i="20"/>
  <c r="K373" i="20"/>
  <c r="J373" i="20"/>
  <c r="I373" i="20"/>
  <c r="H373" i="20"/>
  <c r="G373" i="20"/>
  <c r="F373" i="20"/>
  <c r="E373" i="20"/>
  <c r="D373" i="20"/>
  <c r="AD372" i="20"/>
  <c r="AC372" i="20"/>
  <c r="AB372" i="20"/>
  <c r="AA372" i="20"/>
  <c r="Z372" i="20"/>
  <c r="X372" i="20"/>
  <c r="W372" i="20"/>
  <c r="T372" i="20" s="1"/>
  <c r="R372" i="20" s="1"/>
  <c r="V372" i="20"/>
  <c r="U372" i="20"/>
  <c r="S372" i="20"/>
  <c r="P372" i="20"/>
  <c r="Y372" i="20" s="1"/>
  <c r="M372" i="20"/>
  <c r="L372" i="20"/>
  <c r="K372" i="20"/>
  <c r="J372" i="20"/>
  <c r="I372" i="20"/>
  <c r="H372" i="20"/>
  <c r="G372" i="20"/>
  <c r="F372" i="20"/>
  <c r="E372" i="20"/>
  <c r="D372" i="20"/>
  <c r="AD371" i="20"/>
  <c r="AC371" i="20"/>
  <c r="AB371" i="20"/>
  <c r="AA371" i="20"/>
  <c r="Z371" i="20"/>
  <c r="X371" i="20"/>
  <c r="W371" i="20"/>
  <c r="V371" i="20"/>
  <c r="U371" i="20"/>
  <c r="S371" i="20"/>
  <c r="P371" i="20"/>
  <c r="Y371" i="20" s="1"/>
  <c r="M371" i="20"/>
  <c r="L371" i="20"/>
  <c r="K371" i="20"/>
  <c r="J371" i="20"/>
  <c r="I371" i="20"/>
  <c r="H371" i="20"/>
  <c r="G371" i="20"/>
  <c r="F371" i="20"/>
  <c r="E371" i="20"/>
  <c r="D371" i="20"/>
  <c r="T371" i="20" s="1"/>
  <c r="R371" i="20" s="1"/>
  <c r="AD370" i="20"/>
  <c r="AC370" i="20"/>
  <c r="AB370" i="20"/>
  <c r="AA370" i="20"/>
  <c r="Z370" i="20"/>
  <c r="X370" i="20"/>
  <c r="W370" i="20"/>
  <c r="V370" i="20"/>
  <c r="U370" i="20"/>
  <c r="S370" i="20"/>
  <c r="P370" i="20"/>
  <c r="Y370" i="20" s="1"/>
  <c r="T370" i="20" s="1"/>
  <c r="R370" i="20" s="1"/>
  <c r="M370" i="20"/>
  <c r="L370" i="20"/>
  <c r="K370" i="20"/>
  <c r="J370" i="20"/>
  <c r="I370" i="20"/>
  <c r="H370" i="20"/>
  <c r="G370" i="20"/>
  <c r="F370" i="20"/>
  <c r="E370" i="20"/>
  <c r="D370" i="20"/>
  <c r="AD369" i="20"/>
  <c r="AC369" i="20"/>
  <c r="AB369" i="20"/>
  <c r="AA369" i="20"/>
  <c r="Z369" i="20"/>
  <c r="X369" i="20"/>
  <c r="W369" i="20"/>
  <c r="V369" i="20"/>
  <c r="U369" i="20"/>
  <c r="T369" i="20"/>
  <c r="R369" i="20" s="1"/>
  <c r="S369" i="20"/>
  <c r="P369" i="20"/>
  <c r="Y369" i="20" s="1"/>
  <c r="M369" i="20"/>
  <c r="L369" i="20"/>
  <c r="K369" i="20"/>
  <c r="J369" i="20"/>
  <c r="I369" i="20"/>
  <c r="H369" i="20"/>
  <c r="G369" i="20"/>
  <c r="F369" i="20"/>
  <c r="E369" i="20"/>
  <c r="D369" i="20"/>
  <c r="AD368" i="20"/>
  <c r="AC368" i="20"/>
  <c r="AB368" i="20"/>
  <c r="AA368" i="20"/>
  <c r="Z368" i="20"/>
  <c r="X368" i="20"/>
  <c r="W368" i="20"/>
  <c r="T368" i="20" s="1"/>
  <c r="R368" i="20" s="1"/>
  <c r="V368" i="20"/>
  <c r="U368" i="20"/>
  <c r="S368" i="20"/>
  <c r="P368" i="20"/>
  <c r="Y368" i="20" s="1"/>
  <c r="M368" i="20"/>
  <c r="L368" i="20"/>
  <c r="K368" i="20"/>
  <c r="J368" i="20"/>
  <c r="I368" i="20"/>
  <c r="H368" i="20"/>
  <c r="G368" i="20"/>
  <c r="F368" i="20"/>
  <c r="E368" i="20"/>
  <c r="D368" i="20"/>
  <c r="AD367" i="20"/>
  <c r="AC367" i="20"/>
  <c r="AB367" i="20"/>
  <c r="AA367" i="20"/>
  <c r="Z367" i="20"/>
  <c r="X367" i="20"/>
  <c r="W367" i="20"/>
  <c r="V367" i="20"/>
  <c r="U367" i="20"/>
  <c r="S367" i="20"/>
  <c r="P367" i="20"/>
  <c r="Y367" i="20" s="1"/>
  <c r="M367" i="20"/>
  <c r="L367" i="20"/>
  <c r="K367" i="20"/>
  <c r="J367" i="20"/>
  <c r="I367" i="20"/>
  <c r="H367" i="20"/>
  <c r="G367" i="20"/>
  <c r="F367" i="20"/>
  <c r="E367" i="20"/>
  <c r="D367" i="20"/>
  <c r="T367" i="20" s="1"/>
  <c r="R367" i="20" s="1"/>
  <c r="AD366" i="20"/>
  <c r="AC366" i="20"/>
  <c r="AB366" i="20"/>
  <c r="AA366" i="20"/>
  <c r="Z366" i="20"/>
  <c r="X366" i="20"/>
  <c r="W366" i="20"/>
  <c r="V366" i="20"/>
  <c r="U366" i="20"/>
  <c r="S366" i="20"/>
  <c r="P366" i="20"/>
  <c r="Y366" i="20" s="1"/>
  <c r="T366" i="20" s="1"/>
  <c r="R366" i="20" s="1"/>
  <c r="M366" i="20"/>
  <c r="L366" i="20"/>
  <c r="K366" i="20"/>
  <c r="J366" i="20"/>
  <c r="I366" i="20"/>
  <c r="H366" i="20"/>
  <c r="G366" i="20"/>
  <c r="F366" i="20"/>
  <c r="E366" i="20"/>
  <c r="D366" i="20"/>
  <c r="AD365" i="20"/>
  <c r="AC365" i="20"/>
  <c r="AB365" i="20"/>
  <c r="AA365" i="20"/>
  <c r="Z365" i="20"/>
  <c r="X365" i="20"/>
  <c r="W365" i="20"/>
  <c r="V365" i="20"/>
  <c r="U365" i="20"/>
  <c r="T365" i="20"/>
  <c r="R365" i="20" s="1"/>
  <c r="S365" i="20"/>
  <c r="P365" i="20"/>
  <c r="Y365" i="20" s="1"/>
  <c r="M365" i="20"/>
  <c r="L365" i="20"/>
  <c r="K365" i="20"/>
  <c r="J365" i="20"/>
  <c r="I365" i="20"/>
  <c r="H365" i="20"/>
  <c r="G365" i="20"/>
  <c r="F365" i="20"/>
  <c r="E365" i="20"/>
  <c r="D365" i="20"/>
  <c r="AD364" i="20"/>
  <c r="AC364" i="20"/>
  <c r="AB364" i="20"/>
  <c r="AA364" i="20"/>
  <c r="Z364" i="20"/>
  <c r="X364" i="20"/>
  <c r="W364" i="20"/>
  <c r="T364" i="20" s="1"/>
  <c r="R364" i="20" s="1"/>
  <c r="V364" i="20"/>
  <c r="U364" i="20"/>
  <c r="S364" i="20"/>
  <c r="P364" i="20"/>
  <c r="Y364" i="20" s="1"/>
  <c r="M364" i="20"/>
  <c r="L364" i="20"/>
  <c r="K364" i="20"/>
  <c r="J364" i="20"/>
  <c r="I364" i="20"/>
  <c r="H364" i="20"/>
  <c r="G364" i="20"/>
  <c r="F364" i="20"/>
  <c r="E364" i="20"/>
  <c r="D364" i="20"/>
  <c r="AD363" i="20"/>
  <c r="AC363" i="20"/>
  <c r="AB363" i="20"/>
  <c r="AA363" i="20"/>
  <c r="Z363" i="20"/>
  <c r="X363" i="20"/>
  <c r="W363" i="20"/>
  <c r="V363" i="20"/>
  <c r="U363" i="20"/>
  <c r="S363" i="20"/>
  <c r="P363" i="20"/>
  <c r="Y363" i="20" s="1"/>
  <c r="M363" i="20"/>
  <c r="L363" i="20"/>
  <c r="K363" i="20"/>
  <c r="J363" i="20"/>
  <c r="I363" i="20"/>
  <c r="H363" i="20"/>
  <c r="G363" i="20"/>
  <c r="F363" i="20"/>
  <c r="E363" i="20"/>
  <c r="D363" i="20"/>
  <c r="AD362" i="20"/>
  <c r="AC362" i="20"/>
  <c r="AB362" i="20"/>
  <c r="AA362" i="20"/>
  <c r="Z362" i="20"/>
  <c r="X362" i="20"/>
  <c r="W362" i="20"/>
  <c r="V362" i="20"/>
  <c r="U362" i="20"/>
  <c r="S362" i="20"/>
  <c r="P362" i="20"/>
  <c r="Y362" i="20" s="1"/>
  <c r="T362" i="20" s="1"/>
  <c r="R362" i="20" s="1"/>
  <c r="M362" i="20"/>
  <c r="L362" i="20"/>
  <c r="K362" i="20"/>
  <c r="J362" i="20"/>
  <c r="I362" i="20"/>
  <c r="H362" i="20"/>
  <c r="G362" i="20"/>
  <c r="F362" i="20"/>
  <c r="E362" i="20"/>
  <c r="D362" i="20"/>
  <c r="AD361" i="20"/>
  <c r="AC361" i="20"/>
  <c r="AB361" i="20"/>
  <c r="AA361" i="20"/>
  <c r="Z361" i="20"/>
  <c r="X361" i="20"/>
  <c r="W361" i="20"/>
  <c r="V361" i="20"/>
  <c r="U361" i="20"/>
  <c r="T361" i="20"/>
  <c r="R361" i="20" s="1"/>
  <c r="S361" i="20"/>
  <c r="P361" i="20"/>
  <c r="Y361" i="20" s="1"/>
  <c r="M361" i="20"/>
  <c r="L361" i="20"/>
  <c r="K361" i="20"/>
  <c r="J361" i="20"/>
  <c r="I361" i="20"/>
  <c r="H361" i="20"/>
  <c r="G361" i="20"/>
  <c r="F361" i="20"/>
  <c r="E361" i="20"/>
  <c r="D361" i="20"/>
  <c r="AD360" i="20"/>
  <c r="AC360" i="20"/>
  <c r="AB360" i="20"/>
  <c r="AA360" i="20"/>
  <c r="Z360" i="20"/>
  <c r="X360" i="20"/>
  <c r="W360" i="20"/>
  <c r="T360" i="20" s="1"/>
  <c r="R360" i="20" s="1"/>
  <c r="V360" i="20"/>
  <c r="U360" i="20"/>
  <c r="S360" i="20"/>
  <c r="P360" i="20"/>
  <c r="Y360" i="20" s="1"/>
  <c r="M360" i="20"/>
  <c r="L360" i="20"/>
  <c r="K360" i="20"/>
  <c r="J360" i="20"/>
  <c r="I360" i="20"/>
  <c r="H360" i="20"/>
  <c r="G360" i="20"/>
  <c r="F360" i="20"/>
  <c r="E360" i="20"/>
  <c r="D360" i="20"/>
  <c r="AD359" i="20"/>
  <c r="AC359" i="20"/>
  <c r="AB359" i="20"/>
  <c r="AA359" i="20"/>
  <c r="Z359" i="20"/>
  <c r="X359" i="20"/>
  <c r="W359" i="20"/>
  <c r="V359" i="20"/>
  <c r="U359" i="20"/>
  <c r="T359" i="20" s="1"/>
  <c r="R359" i="20" s="1"/>
  <c r="S359" i="20"/>
  <c r="P359" i="20"/>
  <c r="Y359" i="20" s="1"/>
  <c r="M359" i="20"/>
  <c r="L359" i="20"/>
  <c r="K359" i="20"/>
  <c r="J359" i="20"/>
  <c r="I359" i="20"/>
  <c r="H359" i="20"/>
  <c r="G359" i="20"/>
  <c r="F359" i="20"/>
  <c r="E359" i="20"/>
  <c r="D359" i="20"/>
  <c r="AD358" i="20"/>
  <c r="AC358" i="20"/>
  <c r="AB358" i="20"/>
  <c r="AA358" i="20"/>
  <c r="Z358" i="20"/>
  <c r="X358" i="20"/>
  <c r="W358" i="20"/>
  <c r="V358" i="20"/>
  <c r="T358" i="20" s="1"/>
  <c r="R358" i="20" s="1"/>
  <c r="U358" i="20"/>
  <c r="S358" i="20"/>
  <c r="P358" i="20"/>
  <c r="Y358" i="20" s="1"/>
  <c r="M358" i="20"/>
  <c r="L358" i="20"/>
  <c r="K358" i="20"/>
  <c r="J358" i="20"/>
  <c r="I358" i="20"/>
  <c r="H358" i="20"/>
  <c r="G358" i="20"/>
  <c r="F358" i="20"/>
  <c r="E358" i="20"/>
  <c r="D358" i="20"/>
  <c r="AD357" i="20"/>
  <c r="AC357" i="20"/>
  <c r="AB357" i="20"/>
  <c r="AA357" i="20"/>
  <c r="Z357" i="20"/>
  <c r="X357" i="20"/>
  <c r="W357" i="20"/>
  <c r="V357" i="20"/>
  <c r="U357" i="20"/>
  <c r="T357" i="20"/>
  <c r="R357" i="20" s="1"/>
  <c r="S357" i="20"/>
  <c r="P357" i="20"/>
  <c r="Y357" i="20" s="1"/>
  <c r="M357" i="20"/>
  <c r="L357" i="20"/>
  <c r="K357" i="20"/>
  <c r="J357" i="20"/>
  <c r="I357" i="20"/>
  <c r="H357" i="20"/>
  <c r="G357" i="20"/>
  <c r="F357" i="20"/>
  <c r="E357" i="20"/>
  <c r="D357" i="20"/>
  <c r="AD356" i="20"/>
  <c r="AC356" i="20"/>
  <c r="AB356" i="20"/>
  <c r="AA356" i="20"/>
  <c r="Z356" i="20"/>
  <c r="X356" i="20"/>
  <c r="W356" i="20"/>
  <c r="V356" i="20"/>
  <c r="U356" i="20"/>
  <c r="S356" i="20"/>
  <c r="P356" i="20"/>
  <c r="Y356" i="20" s="1"/>
  <c r="M356" i="20"/>
  <c r="L356" i="20"/>
  <c r="K356" i="20"/>
  <c r="J356" i="20"/>
  <c r="I356" i="20"/>
  <c r="H356" i="20"/>
  <c r="G356" i="20"/>
  <c r="F356" i="20"/>
  <c r="E356" i="20"/>
  <c r="D356" i="20"/>
  <c r="AD355" i="20"/>
  <c r="AC355" i="20"/>
  <c r="AB355" i="20"/>
  <c r="AA355" i="20"/>
  <c r="Z355" i="20"/>
  <c r="X355" i="20"/>
  <c r="W355" i="20"/>
  <c r="V355" i="20"/>
  <c r="U355" i="20"/>
  <c r="T355" i="20" s="1"/>
  <c r="R355" i="20" s="1"/>
  <c r="S355" i="20"/>
  <c r="P355" i="20"/>
  <c r="Y355" i="20" s="1"/>
  <c r="M355" i="20"/>
  <c r="L355" i="20"/>
  <c r="K355" i="20"/>
  <c r="J355" i="20"/>
  <c r="I355" i="20"/>
  <c r="H355" i="20"/>
  <c r="G355" i="20"/>
  <c r="F355" i="20"/>
  <c r="E355" i="20"/>
  <c r="D355" i="20"/>
  <c r="AD354" i="20"/>
  <c r="AC354" i="20"/>
  <c r="AB354" i="20"/>
  <c r="AA354" i="20"/>
  <c r="Z354" i="20"/>
  <c r="X354" i="20"/>
  <c r="W354" i="20"/>
  <c r="V354" i="20"/>
  <c r="U354" i="20"/>
  <c r="S354" i="20"/>
  <c r="P354" i="20"/>
  <c r="Y354" i="20" s="1"/>
  <c r="M354" i="20"/>
  <c r="L354" i="20"/>
  <c r="K354" i="20"/>
  <c r="J354" i="20"/>
  <c r="I354" i="20"/>
  <c r="H354" i="20"/>
  <c r="G354" i="20"/>
  <c r="F354" i="20"/>
  <c r="E354" i="20"/>
  <c r="D354" i="20"/>
  <c r="AD353" i="20"/>
  <c r="AC353" i="20"/>
  <c r="AB353" i="20"/>
  <c r="AA353" i="20"/>
  <c r="Z353" i="20"/>
  <c r="X353" i="20"/>
  <c r="W353" i="20"/>
  <c r="V353" i="20"/>
  <c r="U353" i="20"/>
  <c r="T353" i="20"/>
  <c r="R353" i="20" s="1"/>
  <c r="S353" i="20"/>
  <c r="P353" i="20"/>
  <c r="Y353" i="20" s="1"/>
  <c r="M353" i="20"/>
  <c r="L353" i="20"/>
  <c r="K353" i="20"/>
  <c r="J353" i="20"/>
  <c r="I353" i="20"/>
  <c r="H353" i="20"/>
  <c r="G353" i="20"/>
  <c r="F353" i="20"/>
  <c r="E353" i="20"/>
  <c r="D353" i="20"/>
  <c r="AD352" i="20"/>
  <c r="AC352" i="20"/>
  <c r="AB352" i="20"/>
  <c r="AA352" i="20"/>
  <c r="Z352" i="20"/>
  <c r="X352" i="20"/>
  <c r="W352" i="20"/>
  <c r="V352" i="20"/>
  <c r="U352" i="20"/>
  <c r="S352" i="20"/>
  <c r="P352" i="20"/>
  <c r="Y352" i="20" s="1"/>
  <c r="M352" i="20"/>
  <c r="L352" i="20"/>
  <c r="K352" i="20"/>
  <c r="J352" i="20"/>
  <c r="I352" i="20"/>
  <c r="H352" i="20"/>
  <c r="G352" i="20"/>
  <c r="F352" i="20"/>
  <c r="E352" i="20"/>
  <c r="D352" i="20"/>
  <c r="AD351" i="20"/>
  <c r="AC351" i="20"/>
  <c r="AB351" i="20"/>
  <c r="AA351" i="20"/>
  <c r="Z351" i="20"/>
  <c r="X351" i="20"/>
  <c r="W351" i="20"/>
  <c r="V351" i="20"/>
  <c r="U351" i="20"/>
  <c r="T351" i="20" s="1"/>
  <c r="R351" i="20" s="1"/>
  <c r="S351" i="20"/>
  <c r="P351" i="20"/>
  <c r="Y351" i="20" s="1"/>
  <c r="M351" i="20"/>
  <c r="L351" i="20"/>
  <c r="K351" i="20"/>
  <c r="J351" i="20"/>
  <c r="I351" i="20"/>
  <c r="H351" i="20"/>
  <c r="G351" i="20"/>
  <c r="F351" i="20"/>
  <c r="E351" i="20"/>
  <c r="D351" i="20"/>
  <c r="AD350" i="20"/>
  <c r="AC350" i="20"/>
  <c r="AB350" i="20"/>
  <c r="AA350" i="20"/>
  <c r="Z350" i="20"/>
  <c r="X350" i="20"/>
  <c r="W350" i="20"/>
  <c r="V350" i="20"/>
  <c r="T350" i="20" s="1"/>
  <c r="R350" i="20" s="1"/>
  <c r="U350" i="20"/>
  <c r="S350" i="20"/>
  <c r="P350" i="20"/>
  <c r="Y350" i="20" s="1"/>
  <c r="M350" i="20"/>
  <c r="L350" i="20"/>
  <c r="K350" i="20"/>
  <c r="J350" i="20"/>
  <c r="I350" i="20"/>
  <c r="H350" i="20"/>
  <c r="G350" i="20"/>
  <c r="F350" i="20"/>
  <c r="E350" i="20"/>
  <c r="D350" i="20"/>
  <c r="AD349" i="20"/>
  <c r="AC349" i="20"/>
  <c r="AB349" i="20"/>
  <c r="AA349" i="20"/>
  <c r="Z349" i="20"/>
  <c r="X349" i="20"/>
  <c r="W349" i="20"/>
  <c r="V349" i="20"/>
  <c r="U349" i="20"/>
  <c r="T349" i="20"/>
  <c r="R349" i="20" s="1"/>
  <c r="S349" i="20"/>
  <c r="P349" i="20"/>
  <c r="Y349" i="20" s="1"/>
  <c r="M349" i="20"/>
  <c r="L349" i="20"/>
  <c r="K349" i="20"/>
  <c r="J349" i="20"/>
  <c r="I349" i="20"/>
  <c r="H349" i="20"/>
  <c r="G349" i="20"/>
  <c r="F349" i="20"/>
  <c r="E349" i="20"/>
  <c r="D349" i="20"/>
  <c r="AD348" i="20"/>
  <c r="AC348" i="20"/>
  <c r="AB348" i="20"/>
  <c r="AA348" i="20"/>
  <c r="Z348" i="20"/>
  <c r="X348" i="20"/>
  <c r="W348" i="20"/>
  <c r="V348" i="20"/>
  <c r="U348" i="20"/>
  <c r="S348" i="20"/>
  <c r="P348" i="20"/>
  <c r="Y348" i="20" s="1"/>
  <c r="M348" i="20"/>
  <c r="L348" i="20"/>
  <c r="K348" i="20"/>
  <c r="J348" i="20"/>
  <c r="I348" i="20"/>
  <c r="H348" i="20"/>
  <c r="G348" i="20"/>
  <c r="F348" i="20"/>
  <c r="E348" i="20"/>
  <c r="D348" i="20"/>
  <c r="AD347" i="20"/>
  <c r="AC347" i="20"/>
  <c r="AB347" i="20"/>
  <c r="AA347" i="20"/>
  <c r="Z347" i="20"/>
  <c r="X347" i="20"/>
  <c r="W347" i="20"/>
  <c r="V347" i="20"/>
  <c r="U347" i="20"/>
  <c r="T347" i="20" s="1"/>
  <c r="R347" i="20" s="1"/>
  <c r="S347" i="20"/>
  <c r="P347" i="20"/>
  <c r="Y347" i="20" s="1"/>
  <c r="M347" i="20"/>
  <c r="L347" i="20"/>
  <c r="K347" i="20"/>
  <c r="J347" i="20"/>
  <c r="I347" i="20"/>
  <c r="H347" i="20"/>
  <c r="G347" i="20"/>
  <c r="F347" i="20"/>
  <c r="E347" i="20"/>
  <c r="D347" i="20"/>
  <c r="AD346" i="20"/>
  <c r="AC346" i="20"/>
  <c r="AB346" i="20"/>
  <c r="AA346" i="20"/>
  <c r="Z346" i="20"/>
  <c r="X346" i="20"/>
  <c r="W346" i="20"/>
  <c r="V346" i="20"/>
  <c r="T346" i="20" s="1"/>
  <c r="R346" i="20" s="1"/>
  <c r="U346" i="20"/>
  <c r="S346" i="20"/>
  <c r="P346" i="20"/>
  <c r="Y346" i="20" s="1"/>
  <c r="M346" i="20"/>
  <c r="L346" i="20"/>
  <c r="K346" i="20"/>
  <c r="J346" i="20"/>
  <c r="I346" i="20"/>
  <c r="H346" i="20"/>
  <c r="G346" i="20"/>
  <c r="F346" i="20"/>
  <c r="E346" i="20"/>
  <c r="D346" i="20"/>
  <c r="AD345" i="20"/>
  <c r="AC345" i="20"/>
  <c r="AB345" i="20"/>
  <c r="AA345" i="20"/>
  <c r="Z345" i="20"/>
  <c r="X345" i="20"/>
  <c r="W345" i="20"/>
  <c r="V345" i="20"/>
  <c r="U345" i="20"/>
  <c r="S345" i="20"/>
  <c r="P345" i="20"/>
  <c r="Y345" i="20" s="1"/>
  <c r="T345" i="20" s="1"/>
  <c r="R345" i="20" s="1"/>
  <c r="M345" i="20"/>
  <c r="L345" i="20"/>
  <c r="K345" i="20"/>
  <c r="J345" i="20"/>
  <c r="I345" i="20"/>
  <c r="H345" i="20"/>
  <c r="G345" i="20"/>
  <c r="F345" i="20"/>
  <c r="E345" i="20"/>
  <c r="D345" i="20"/>
  <c r="AD344" i="20"/>
  <c r="AC344" i="20"/>
  <c r="AB344" i="20"/>
  <c r="AA344" i="20"/>
  <c r="Z344" i="20"/>
  <c r="X344" i="20"/>
  <c r="W344" i="20"/>
  <c r="V344" i="20"/>
  <c r="U344" i="20"/>
  <c r="S344" i="20"/>
  <c r="P344" i="20"/>
  <c r="Y344" i="20" s="1"/>
  <c r="M344" i="20"/>
  <c r="L344" i="20"/>
  <c r="K344" i="20"/>
  <c r="J344" i="20"/>
  <c r="I344" i="20"/>
  <c r="H344" i="20"/>
  <c r="G344" i="20"/>
  <c r="F344" i="20"/>
  <c r="E344" i="20"/>
  <c r="D344" i="20"/>
  <c r="AD343" i="20"/>
  <c r="AC343" i="20"/>
  <c r="AB343" i="20"/>
  <c r="AA343" i="20"/>
  <c r="Z343" i="20"/>
  <c r="X343" i="20"/>
  <c r="W343" i="20"/>
  <c r="V343" i="20"/>
  <c r="T343" i="20" s="1"/>
  <c r="R343" i="20" s="1"/>
  <c r="U343" i="20"/>
  <c r="S343" i="20"/>
  <c r="P343" i="20"/>
  <c r="Y343" i="20" s="1"/>
  <c r="M343" i="20"/>
  <c r="L343" i="20"/>
  <c r="K343" i="20"/>
  <c r="J343" i="20"/>
  <c r="I343" i="20"/>
  <c r="H343" i="20"/>
  <c r="G343" i="20"/>
  <c r="F343" i="20"/>
  <c r="E343" i="20"/>
  <c r="D343" i="20"/>
  <c r="AD342" i="20"/>
  <c r="AC342" i="20"/>
  <c r="AB342" i="20"/>
  <c r="AA342" i="20"/>
  <c r="Z342" i="20"/>
  <c r="X342" i="20"/>
  <c r="W342" i="20"/>
  <c r="V342" i="20"/>
  <c r="U342" i="20"/>
  <c r="S342" i="20"/>
  <c r="P342" i="20"/>
  <c r="Y342" i="20" s="1"/>
  <c r="M342" i="20"/>
  <c r="L342" i="20"/>
  <c r="K342" i="20"/>
  <c r="J342" i="20"/>
  <c r="I342" i="20"/>
  <c r="H342" i="20"/>
  <c r="G342" i="20"/>
  <c r="F342" i="20"/>
  <c r="E342" i="20"/>
  <c r="D342" i="20"/>
  <c r="AD341" i="20"/>
  <c r="AC341" i="20"/>
  <c r="AB341" i="20"/>
  <c r="AA341" i="20"/>
  <c r="Z341" i="20"/>
  <c r="X341" i="20"/>
  <c r="W341" i="20"/>
  <c r="V341" i="20"/>
  <c r="U341" i="20"/>
  <c r="T341" i="20" s="1"/>
  <c r="R341" i="20" s="1"/>
  <c r="S341" i="20"/>
  <c r="P341" i="20"/>
  <c r="Y341" i="20" s="1"/>
  <c r="M341" i="20"/>
  <c r="L341" i="20"/>
  <c r="K341" i="20"/>
  <c r="J341" i="20"/>
  <c r="I341" i="20"/>
  <c r="H341" i="20"/>
  <c r="G341" i="20"/>
  <c r="F341" i="20"/>
  <c r="E341" i="20"/>
  <c r="D341" i="20"/>
  <c r="AD340" i="20"/>
  <c r="AC340" i="20"/>
  <c r="AB340" i="20"/>
  <c r="AA340" i="20"/>
  <c r="Z340" i="20"/>
  <c r="X340" i="20"/>
  <c r="W340" i="20"/>
  <c r="V340" i="20"/>
  <c r="U340" i="20"/>
  <c r="S340" i="20"/>
  <c r="P340" i="20"/>
  <c r="Y340" i="20" s="1"/>
  <c r="M340" i="20"/>
  <c r="L340" i="20"/>
  <c r="K340" i="20"/>
  <c r="J340" i="20"/>
  <c r="I340" i="20"/>
  <c r="T340" i="20" s="1"/>
  <c r="R340" i="20" s="1"/>
  <c r="H340" i="20"/>
  <c r="G340" i="20"/>
  <c r="F340" i="20"/>
  <c r="E340" i="20"/>
  <c r="D340" i="20"/>
  <c r="AD339" i="20"/>
  <c r="AC339" i="20"/>
  <c r="AB339" i="20"/>
  <c r="AA339" i="20"/>
  <c r="Z339" i="20"/>
  <c r="X339" i="20"/>
  <c r="W339" i="20"/>
  <c r="V339" i="20"/>
  <c r="U339" i="20"/>
  <c r="S339" i="20"/>
  <c r="P339" i="20"/>
  <c r="Y339" i="20" s="1"/>
  <c r="M339" i="20"/>
  <c r="L339" i="20"/>
  <c r="K339" i="20"/>
  <c r="J339" i="20"/>
  <c r="I339" i="20"/>
  <c r="H339" i="20"/>
  <c r="G339" i="20"/>
  <c r="F339" i="20"/>
  <c r="E339" i="20"/>
  <c r="D339" i="20"/>
  <c r="AD338" i="20"/>
  <c r="AC338" i="20"/>
  <c r="AB338" i="20"/>
  <c r="AA338" i="20"/>
  <c r="Z338" i="20"/>
  <c r="X338" i="20"/>
  <c r="W338" i="20"/>
  <c r="V338" i="20"/>
  <c r="U338" i="20"/>
  <c r="T338" i="20" s="1"/>
  <c r="R338" i="20" s="1"/>
  <c r="S338" i="20"/>
  <c r="P338" i="20"/>
  <c r="Y338" i="20" s="1"/>
  <c r="M338" i="20"/>
  <c r="L338" i="20"/>
  <c r="K338" i="20"/>
  <c r="J338" i="20"/>
  <c r="I338" i="20"/>
  <c r="H338" i="20"/>
  <c r="G338" i="20"/>
  <c r="F338" i="20"/>
  <c r="E338" i="20"/>
  <c r="D338" i="20"/>
  <c r="AD337" i="20"/>
  <c r="AC337" i="20"/>
  <c r="AB337" i="20"/>
  <c r="AA337" i="20"/>
  <c r="Z337" i="20"/>
  <c r="X337" i="20"/>
  <c r="W337" i="20"/>
  <c r="V337" i="20"/>
  <c r="U337" i="20"/>
  <c r="S337" i="20"/>
  <c r="P337" i="20"/>
  <c r="Y337" i="20" s="1"/>
  <c r="T337" i="20" s="1"/>
  <c r="R337" i="20" s="1"/>
  <c r="M337" i="20"/>
  <c r="L337" i="20"/>
  <c r="K337" i="20"/>
  <c r="J337" i="20"/>
  <c r="I337" i="20"/>
  <c r="H337" i="20"/>
  <c r="G337" i="20"/>
  <c r="F337" i="20"/>
  <c r="E337" i="20"/>
  <c r="D337" i="20"/>
  <c r="AD336" i="20"/>
  <c r="AC336" i="20"/>
  <c r="AB336" i="20"/>
  <c r="AA336" i="20"/>
  <c r="Z336" i="20"/>
  <c r="X336" i="20"/>
  <c r="W336" i="20"/>
  <c r="V336" i="20"/>
  <c r="U336" i="20"/>
  <c r="S336" i="20"/>
  <c r="P336" i="20"/>
  <c r="Y336" i="20" s="1"/>
  <c r="M336" i="20"/>
  <c r="L336" i="20"/>
  <c r="K336" i="20"/>
  <c r="J336" i="20"/>
  <c r="I336" i="20"/>
  <c r="H336" i="20"/>
  <c r="G336" i="20"/>
  <c r="F336" i="20"/>
  <c r="E336" i="20"/>
  <c r="D336" i="20"/>
  <c r="AD335" i="20"/>
  <c r="AC335" i="20"/>
  <c r="AB335" i="20"/>
  <c r="AA335" i="20"/>
  <c r="Z335" i="20"/>
  <c r="X335" i="20"/>
  <c r="W335" i="20"/>
  <c r="V335" i="20"/>
  <c r="U335" i="20"/>
  <c r="S335" i="20"/>
  <c r="P335" i="20"/>
  <c r="Y335" i="20" s="1"/>
  <c r="M335" i="20"/>
  <c r="L335" i="20"/>
  <c r="K335" i="20"/>
  <c r="J335" i="20"/>
  <c r="I335" i="20"/>
  <c r="H335" i="20"/>
  <c r="G335" i="20"/>
  <c r="F335" i="20"/>
  <c r="E335" i="20"/>
  <c r="D335" i="20"/>
  <c r="AD334" i="20"/>
  <c r="AC334" i="20"/>
  <c r="AB334" i="20"/>
  <c r="AA334" i="20"/>
  <c r="Z334" i="20"/>
  <c r="X334" i="20"/>
  <c r="W334" i="20"/>
  <c r="V334" i="20"/>
  <c r="U334" i="20"/>
  <c r="T334" i="20" s="1"/>
  <c r="R334" i="20" s="1"/>
  <c r="S334" i="20"/>
  <c r="P334" i="20"/>
  <c r="Y334" i="20" s="1"/>
  <c r="M334" i="20"/>
  <c r="L334" i="20"/>
  <c r="K334" i="20"/>
  <c r="J334" i="20"/>
  <c r="I334" i="20"/>
  <c r="H334" i="20"/>
  <c r="G334" i="20"/>
  <c r="F334" i="20"/>
  <c r="E334" i="20"/>
  <c r="D334" i="20"/>
  <c r="AD333" i="20"/>
  <c r="AC333" i="20"/>
  <c r="AB333" i="20"/>
  <c r="AA333" i="20"/>
  <c r="Z333" i="20"/>
  <c r="X333" i="20"/>
  <c r="W333" i="20"/>
  <c r="V333" i="20"/>
  <c r="U333" i="20"/>
  <c r="S333" i="20"/>
  <c r="P333" i="20"/>
  <c r="Y333" i="20" s="1"/>
  <c r="M333" i="20"/>
  <c r="L333" i="20"/>
  <c r="K333" i="20"/>
  <c r="J333" i="20"/>
  <c r="I333" i="20"/>
  <c r="H333" i="20"/>
  <c r="G333" i="20"/>
  <c r="F333" i="20"/>
  <c r="E333" i="20"/>
  <c r="D333" i="20"/>
  <c r="AD332" i="20"/>
  <c r="AC332" i="20"/>
  <c r="AB332" i="20"/>
  <c r="AA332" i="20"/>
  <c r="Z332" i="20"/>
  <c r="X332" i="20"/>
  <c r="W332" i="20"/>
  <c r="V332" i="20"/>
  <c r="U332" i="20"/>
  <c r="T332" i="20"/>
  <c r="R332" i="20" s="1"/>
  <c r="S332" i="20"/>
  <c r="P332" i="20"/>
  <c r="Y332" i="20" s="1"/>
  <c r="M332" i="20"/>
  <c r="L332" i="20"/>
  <c r="K332" i="20"/>
  <c r="J332" i="20"/>
  <c r="I332" i="20"/>
  <c r="H332" i="20"/>
  <c r="G332" i="20"/>
  <c r="F332" i="20"/>
  <c r="E332" i="20"/>
  <c r="D332" i="20"/>
  <c r="AD331" i="20"/>
  <c r="AC331" i="20"/>
  <c r="AB331" i="20"/>
  <c r="AA331" i="20"/>
  <c r="Z331" i="20"/>
  <c r="X331" i="20"/>
  <c r="W331" i="20"/>
  <c r="V331" i="20"/>
  <c r="U331" i="20"/>
  <c r="S331" i="20"/>
  <c r="P331" i="20"/>
  <c r="Y331" i="20" s="1"/>
  <c r="M331" i="20"/>
  <c r="L331" i="20"/>
  <c r="K331" i="20"/>
  <c r="J331" i="20"/>
  <c r="I331" i="20"/>
  <c r="H331" i="20"/>
  <c r="G331" i="20"/>
  <c r="F331" i="20"/>
  <c r="E331" i="20"/>
  <c r="D331" i="20"/>
  <c r="AD330" i="20"/>
  <c r="AC330" i="20"/>
  <c r="AB330" i="20"/>
  <c r="AA330" i="20"/>
  <c r="Z330" i="20"/>
  <c r="X330" i="20"/>
  <c r="W330" i="20"/>
  <c r="V330" i="20"/>
  <c r="U330" i="20"/>
  <c r="S330" i="20"/>
  <c r="P330" i="20"/>
  <c r="Y330" i="20" s="1"/>
  <c r="M330" i="20"/>
  <c r="L330" i="20"/>
  <c r="K330" i="20"/>
  <c r="J330" i="20"/>
  <c r="I330" i="20"/>
  <c r="H330" i="20"/>
  <c r="G330" i="20"/>
  <c r="F330" i="20"/>
  <c r="E330" i="20"/>
  <c r="D330" i="20"/>
  <c r="AD329" i="20"/>
  <c r="AC329" i="20"/>
  <c r="AB329" i="20"/>
  <c r="AA329" i="20"/>
  <c r="Z329" i="20"/>
  <c r="X329" i="20"/>
  <c r="W329" i="20"/>
  <c r="V329" i="20"/>
  <c r="U329" i="20"/>
  <c r="S329" i="20"/>
  <c r="P329" i="20"/>
  <c r="Y329" i="20" s="1"/>
  <c r="T329" i="20" s="1"/>
  <c r="R329" i="20" s="1"/>
  <c r="M329" i="20"/>
  <c r="L329" i="20"/>
  <c r="K329" i="20"/>
  <c r="J329" i="20"/>
  <c r="I329" i="20"/>
  <c r="H329" i="20"/>
  <c r="G329" i="20"/>
  <c r="F329" i="20"/>
  <c r="E329" i="20"/>
  <c r="D329" i="20"/>
  <c r="AD328" i="20"/>
  <c r="AC328" i="20"/>
  <c r="AB328" i="20"/>
  <c r="AA328" i="20"/>
  <c r="Z328" i="20"/>
  <c r="X328" i="20"/>
  <c r="W328" i="20"/>
  <c r="V328" i="20"/>
  <c r="U328" i="20"/>
  <c r="S328" i="20"/>
  <c r="P328" i="20"/>
  <c r="Y328" i="20" s="1"/>
  <c r="M328" i="20"/>
  <c r="L328" i="20"/>
  <c r="K328" i="20"/>
  <c r="J328" i="20"/>
  <c r="I328" i="20"/>
  <c r="H328" i="20"/>
  <c r="G328" i="20"/>
  <c r="F328" i="20"/>
  <c r="E328" i="20"/>
  <c r="D328" i="20"/>
  <c r="AD327" i="20"/>
  <c r="AC327" i="20"/>
  <c r="AB327" i="20"/>
  <c r="AA327" i="20"/>
  <c r="Z327" i="20"/>
  <c r="X327" i="20"/>
  <c r="W327" i="20"/>
  <c r="V327" i="20"/>
  <c r="U327" i="20"/>
  <c r="S327" i="20"/>
  <c r="P327" i="20"/>
  <c r="Y327" i="20" s="1"/>
  <c r="M327" i="20"/>
  <c r="L327" i="20"/>
  <c r="K327" i="20"/>
  <c r="J327" i="20"/>
  <c r="I327" i="20"/>
  <c r="H327" i="20"/>
  <c r="G327" i="20"/>
  <c r="F327" i="20"/>
  <c r="E327" i="20"/>
  <c r="D327" i="20"/>
  <c r="AD326" i="20"/>
  <c r="AC326" i="20"/>
  <c r="AB326" i="20"/>
  <c r="AA326" i="20"/>
  <c r="Z326" i="20"/>
  <c r="X326" i="20"/>
  <c r="W326" i="20"/>
  <c r="V326" i="20"/>
  <c r="U326" i="20"/>
  <c r="S326" i="20"/>
  <c r="P326" i="20"/>
  <c r="Y326" i="20" s="1"/>
  <c r="M326" i="20"/>
  <c r="L326" i="20"/>
  <c r="K326" i="20"/>
  <c r="J326" i="20"/>
  <c r="I326" i="20"/>
  <c r="H326" i="20"/>
  <c r="G326" i="20"/>
  <c r="F326" i="20"/>
  <c r="E326" i="20"/>
  <c r="D326" i="20"/>
  <c r="AD325" i="20"/>
  <c r="AC325" i="20"/>
  <c r="AB325" i="20"/>
  <c r="AA325" i="20"/>
  <c r="Z325" i="20"/>
  <c r="X325" i="20"/>
  <c r="W325" i="20"/>
  <c r="V325" i="20"/>
  <c r="U325" i="20"/>
  <c r="S325" i="20"/>
  <c r="P325" i="20"/>
  <c r="Y325" i="20" s="1"/>
  <c r="M325" i="20"/>
  <c r="L325" i="20"/>
  <c r="K325" i="20"/>
  <c r="J325" i="20"/>
  <c r="I325" i="20"/>
  <c r="H325" i="20"/>
  <c r="G325" i="20"/>
  <c r="F325" i="20"/>
  <c r="E325" i="20"/>
  <c r="D325" i="20"/>
  <c r="AD324" i="20"/>
  <c r="AC324" i="20"/>
  <c r="AB324" i="20"/>
  <c r="AA324" i="20"/>
  <c r="Z324" i="20"/>
  <c r="X324" i="20"/>
  <c r="W324" i="20"/>
  <c r="V324" i="20"/>
  <c r="U324" i="20"/>
  <c r="T324" i="20"/>
  <c r="R324" i="20" s="1"/>
  <c r="S324" i="20"/>
  <c r="P324" i="20"/>
  <c r="Y324" i="20" s="1"/>
  <c r="M324" i="20"/>
  <c r="L324" i="20"/>
  <c r="K324" i="20"/>
  <c r="J324" i="20"/>
  <c r="I324" i="20"/>
  <c r="H324" i="20"/>
  <c r="G324" i="20"/>
  <c r="F324" i="20"/>
  <c r="E324" i="20"/>
  <c r="D324" i="20"/>
  <c r="AD323" i="20"/>
  <c r="AC323" i="20"/>
  <c r="AB323" i="20"/>
  <c r="AA323" i="20"/>
  <c r="Z323" i="20"/>
  <c r="X323" i="20"/>
  <c r="W323" i="20"/>
  <c r="V323" i="20"/>
  <c r="T323" i="20" s="1"/>
  <c r="U323" i="20"/>
  <c r="S323" i="20"/>
  <c r="P323" i="20"/>
  <c r="Y323" i="20" s="1"/>
  <c r="M323" i="20"/>
  <c r="L323" i="20"/>
  <c r="K323" i="20"/>
  <c r="J323" i="20"/>
  <c r="I323" i="20"/>
  <c r="H323" i="20"/>
  <c r="G323" i="20"/>
  <c r="F323" i="20"/>
  <c r="E323" i="20"/>
  <c r="D323" i="20"/>
  <c r="AD322" i="20"/>
  <c r="AC322" i="20"/>
  <c r="AB322" i="20"/>
  <c r="AA322" i="20"/>
  <c r="Z322" i="20"/>
  <c r="X322" i="20"/>
  <c r="W322" i="20"/>
  <c r="V322" i="20"/>
  <c r="U322" i="20"/>
  <c r="S322" i="20"/>
  <c r="P322" i="20"/>
  <c r="Y322" i="20" s="1"/>
  <c r="M322" i="20"/>
  <c r="L322" i="20"/>
  <c r="K322" i="20"/>
  <c r="J322" i="20"/>
  <c r="I322" i="20"/>
  <c r="H322" i="20"/>
  <c r="G322" i="20"/>
  <c r="F322" i="20"/>
  <c r="E322" i="20"/>
  <c r="D322" i="20"/>
  <c r="AD321" i="20"/>
  <c r="AC321" i="20"/>
  <c r="AB321" i="20"/>
  <c r="AA321" i="20"/>
  <c r="Z321" i="20"/>
  <c r="X321" i="20"/>
  <c r="W321" i="20"/>
  <c r="V321" i="20"/>
  <c r="U321" i="20"/>
  <c r="S321" i="20"/>
  <c r="P321" i="20"/>
  <c r="Y321" i="20" s="1"/>
  <c r="M321" i="20"/>
  <c r="L321" i="20"/>
  <c r="K321" i="20"/>
  <c r="J321" i="20"/>
  <c r="I321" i="20"/>
  <c r="H321" i="20"/>
  <c r="G321" i="20"/>
  <c r="F321" i="20"/>
  <c r="E321" i="20"/>
  <c r="D321" i="20"/>
  <c r="AD320" i="20"/>
  <c r="AC320" i="20"/>
  <c r="AB320" i="20"/>
  <c r="AA320" i="20"/>
  <c r="Z320" i="20"/>
  <c r="X320" i="20"/>
  <c r="W320" i="20"/>
  <c r="V320" i="20"/>
  <c r="U320" i="20"/>
  <c r="T320" i="20" s="1"/>
  <c r="R320" i="20" s="1"/>
  <c r="S320" i="20"/>
  <c r="P320" i="20"/>
  <c r="Y320" i="20" s="1"/>
  <c r="M320" i="20"/>
  <c r="L320" i="20"/>
  <c r="K320" i="20"/>
  <c r="J320" i="20"/>
  <c r="I320" i="20"/>
  <c r="H320" i="20"/>
  <c r="G320" i="20"/>
  <c r="F320" i="20"/>
  <c r="E320" i="20"/>
  <c r="D320" i="20"/>
  <c r="AD319" i="20"/>
  <c r="AC319" i="20"/>
  <c r="AB319" i="20"/>
  <c r="AA319" i="20"/>
  <c r="X319" i="20"/>
  <c r="W319" i="20"/>
  <c r="V319" i="20"/>
  <c r="U319" i="20"/>
  <c r="S319" i="20"/>
  <c r="P319" i="20"/>
  <c r="Y319" i="20" s="1"/>
  <c r="M319" i="20"/>
  <c r="L319" i="20"/>
  <c r="K319" i="20"/>
  <c r="J319" i="20"/>
  <c r="I319" i="20"/>
  <c r="H319" i="20"/>
  <c r="G319" i="20"/>
  <c r="F319" i="20"/>
  <c r="E319" i="20"/>
  <c r="D319" i="20"/>
  <c r="AD318" i="20"/>
  <c r="AC318" i="20"/>
  <c r="AB318" i="20"/>
  <c r="AA318" i="20"/>
  <c r="Z318" i="20"/>
  <c r="X318" i="20"/>
  <c r="W318" i="20"/>
  <c r="V318" i="20"/>
  <c r="U318" i="20"/>
  <c r="S318" i="20"/>
  <c r="P318" i="20"/>
  <c r="Y318" i="20" s="1"/>
  <c r="M318" i="20"/>
  <c r="L318" i="20"/>
  <c r="K318" i="20"/>
  <c r="J318" i="20"/>
  <c r="I318" i="20"/>
  <c r="H318" i="20"/>
  <c r="G318" i="20"/>
  <c r="F318" i="20"/>
  <c r="E318" i="20"/>
  <c r="D318" i="20"/>
  <c r="AD317" i="20"/>
  <c r="AC317" i="20"/>
  <c r="AB317" i="20"/>
  <c r="AA317" i="20"/>
  <c r="Z317" i="20"/>
  <c r="X317" i="20"/>
  <c r="W317" i="20"/>
  <c r="V317" i="20"/>
  <c r="U317" i="20"/>
  <c r="S317" i="20"/>
  <c r="P317" i="20"/>
  <c r="Y317" i="20" s="1"/>
  <c r="M317" i="20"/>
  <c r="L317" i="20"/>
  <c r="K317" i="20"/>
  <c r="J317" i="20"/>
  <c r="I317" i="20"/>
  <c r="H317" i="20"/>
  <c r="G317" i="20"/>
  <c r="F317" i="20"/>
  <c r="E317" i="20"/>
  <c r="D317" i="20"/>
  <c r="AD316" i="20"/>
  <c r="AC316" i="20"/>
  <c r="AB316" i="20"/>
  <c r="AA316" i="20"/>
  <c r="Z316" i="20"/>
  <c r="X316" i="20"/>
  <c r="W316" i="20"/>
  <c r="V316" i="20"/>
  <c r="U316" i="20"/>
  <c r="S316" i="20"/>
  <c r="P316" i="20"/>
  <c r="Y316" i="20" s="1"/>
  <c r="M316" i="20"/>
  <c r="L316" i="20"/>
  <c r="K316" i="20"/>
  <c r="J316" i="20"/>
  <c r="I316" i="20"/>
  <c r="H316" i="20"/>
  <c r="G316" i="20"/>
  <c r="F316" i="20"/>
  <c r="E316" i="20"/>
  <c r="D316" i="20"/>
  <c r="AD315" i="20"/>
  <c r="AC315" i="20"/>
  <c r="AB315" i="20"/>
  <c r="AA315" i="20"/>
  <c r="Z315" i="20"/>
  <c r="X315" i="20"/>
  <c r="W315" i="20"/>
  <c r="V315" i="20"/>
  <c r="U315" i="20"/>
  <c r="S315" i="20"/>
  <c r="P315" i="20"/>
  <c r="Y315" i="20" s="1"/>
  <c r="M315" i="20"/>
  <c r="L315" i="20"/>
  <c r="K315" i="20"/>
  <c r="J315" i="20"/>
  <c r="I315" i="20"/>
  <c r="H315" i="20"/>
  <c r="G315" i="20"/>
  <c r="F315" i="20"/>
  <c r="E315" i="20"/>
  <c r="D315" i="20"/>
  <c r="AD314" i="20"/>
  <c r="AC314" i="20"/>
  <c r="AB314" i="20"/>
  <c r="AA314" i="20"/>
  <c r="Z314" i="20"/>
  <c r="X314" i="20"/>
  <c r="W314" i="20"/>
  <c r="V314" i="20"/>
  <c r="U314" i="20"/>
  <c r="S314" i="20"/>
  <c r="P314" i="20"/>
  <c r="Y314" i="20" s="1"/>
  <c r="M314" i="20"/>
  <c r="L314" i="20"/>
  <c r="K314" i="20"/>
  <c r="J314" i="20"/>
  <c r="I314" i="20"/>
  <c r="H314" i="20"/>
  <c r="G314" i="20"/>
  <c r="F314" i="20"/>
  <c r="E314" i="20"/>
  <c r="D314" i="20"/>
  <c r="AD313" i="20"/>
  <c r="AC313" i="20"/>
  <c r="AB313" i="20"/>
  <c r="AA313" i="20"/>
  <c r="Z313" i="20"/>
  <c r="X313" i="20"/>
  <c r="W313" i="20"/>
  <c r="V313" i="20"/>
  <c r="U313" i="20"/>
  <c r="S313" i="20"/>
  <c r="P313" i="20"/>
  <c r="Y313" i="20" s="1"/>
  <c r="M313" i="20"/>
  <c r="L313" i="20"/>
  <c r="K313" i="20"/>
  <c r="J313" i="20"/>
  <c r="I313" i="20"/>
  <c r="H313" i="20"/>
  <c r="G313" i="20"/>
  <c r="F313" i="20"/>
  <c r="E313" i="20"/>
  <c r="D313" i="20"/>
  <c r="AD312" i="20"/>
  <c r="AC312" i="20"/>
  <c r="AB312" i="20"/>
  <c r="AA312" i="20"/>
  <c r="Z312" i="20"/>
  <c r="X312" i="20"/>
  <c r="W312" i="20"/>
  <c r="V312" i="20"/>
  <c r="U312" i="20"/>
  <c r="S312" i="20"/>
  <c r="P312" i="20"/>
  <c r="Y312" i="20" s="1"/>
  <c r="M312" i="20"/>
  <c r="L312" i="20"/>
  <c r="K312" i="20"/>
  <c r="J312" i="20"/>
  <c r="I312" i="20"/>
  <c r="H312" i="20"/>
  <c r="G312" i="20"/>
  <c r="F312" i="20"/>
  <c r="E312" i="20"/>
  <c r="D312" i="20"/>
  <c r="AD311" i="20"/>
  <c r="AC311" i="20"/>
  <c r="AB311" i="20"/>
  <c r="AA311" i="20"/>
  <c r="Z311" i="20"/>
  <c r="X311" i="20"/>
  <c r="W311" i="20"/>
  <c r="V311" i="20"/>
  <c r="U311" i="20"/>
  <c r="S311" i="20"/>
  <c r="P311" i="20"/>
  <c r="Y311" i="20" s="1"/>
  <c r="M311" i="20"/>
  <c r="L311" i="20"/>
  <c r="K311" i="20"/>
  <c r="J311" i="20"/>
  <c r="I311" i="20"/>
  <c r="H311" i="20"/>
  <c r="G311" i="20"/>
  <c r="F311" i="20"/>
  <c r="E311" i="20"/>
  <c r="D311" i="20"/>
  <c r="AD310" i="20"/>
  <c r="AC310" i="20"/>
  <c r="AB310" i="20"/>
  <c r="AA310" i="20"/>
  <c r="Z310" i="20"/>
  <c r="X310" i="20"/>
  <c r="W310" i="20"/>
  <c r="T310" i="20" s="1"/>
  <c r="R310" i="20" s="1"/>
  <c r="V310" i="20"/>
  <c r="U310" i="20"/>
  <c r="S310" i="20"/>
  <c r="P310" i="20"/>
  <c r="Y310" i="20" s="1"/>
  <c r="M310" i="20"/>
  <c r="L310" i="20"/>
  <c r="K310" i="20"/>
  <c r="J310" i="20"/>
  <c r="I310" i="20"/>
  <c r="H310" i="20"/>
  <c r="G310" i="20"/>
  <c r="F310" i="20"/>
  <c r="E310" i="20"/>
  <c r="D310" i="20"/>
  <c r="AD309" i="20"/>
  <c r="AC309" i="20"/>
  <c r="AB309" i="20"/>
  <c r="AA309" i="20"/>
  <c r="Z309" i="20"/>
  <c r="X309" i="20"/>
  <c r="W309" i="20"/>
  <c r="V309" i="20"/>
  <c r="U309" i="20"/>
  <c r="S309" i="20"/>
  <c r="P309" i="20"/>
  <c r="Y309" i="20" s="1"/>
  <c r="M309" i="20"/>
  <c r="L309" i="20"/>
  <c r="K309" i="20"/>
  <c r="J309" i="20"/>
  <c r="I309" i="20"/>
  <c r="H309" i="20"/>
  <c r="G309" i="20"/>
  <c r="F309" i="20"/>
  <c r="E309" i="20"/>
  <c r="D309" i="20"/>
  <c r="AD308" i="20"/>
  <c r="AC308" i="20"/>
  <c r="AB308" i="20"/>
  <c r="AA308" i="20"/>
  <c r="Z308" i="20"/>
  <c r="X308" i="20"/>
  <c r="W308" i="20"/>
  <c r="T308" i="20" s="1"/>
  <c r="R308" i="20" s="1"/>
  <c r="V308" i="20"/>
  <c r="U308" i="20"/>
  <c r="S308" i="20"/>
  <c r="P308" i="20"/>
  <c r="Y308" i="20" s="1"/>
  <c r="M308" i="20"/>
  <c r="L308" i="20"/>
  <c r="K308" i="20"/>
  <c r="J308" i="20"/>
  <c r="I308" i="20"/>
  <c r="H308" i="20"/>
  <c r="G308" i="20"/>
  <c r="F308" i="20"/>
  <c r="E308" i="20"/>
  <c r="D308" i="20"/>
  <c r="AD307" i="20"/>
  <c r="AC307" i="20"/>
  <c r="AB307" i="20"/>
  <c r="AA307" i="20"/>
  <c r="Z307" i="20"/>
  <c r="X307" i="20"/>
  <c r="W307" i="20"/>
  <c r="T307" i="20" s="1"/>
  <c r="R307" i="20" s="1"/>
  <c r="V307" i="20"/>
  <c r="U307" i="20"/>
  <c r="S307" i="20"/>
  <c r="P307" i="20"/>
  <c r="Y307" i="20" s="1"/>
  <c r="M307" i="20"/>
  <c r="L307" i="20"/>
  <c r="K307" i="20"/>
  <c r="J307" i="20"/>
  <c r="I307" i="20"/>
  <c r="H307" i="20"/>
  <c r="G307" i="20"/>
  <c r="F307" i="20"/>
  <c r="E307" i="20"/>
  <c r="D307" i="20"/>
  <c r="AD306" i="20"/>
  <c r="AC306" i="20"/>
  <c r="AB306" i="20"/>
  <c r="AA306" i="20"/>
  <c r="Z306" i="20"/>
  <c r="X306" i="20"/>
  <c r="W306" i="20"/>
  <c r="V306" i="20"/>
  <c r="U306" i="20"/>
  <c r="S306" i="20"/>
  <c r="P306" i="20"/>
  <c r="Y306" i="20" s="1"/>
  <c r="M306" i="20"/>
  <c r="L306" i="20"/>
  <c r="K306" i="20"/>
  <c r="J306" i="20"/>
  <c r="I306" i="20"/>
  <c r="H306" i="20"/>
  <c r="G306" i="20"/>
  <c r="F306" i="20"/>
  <c r="E306" i="20"/>
  <c r="D306" i="20"/>
  <c r="AD305" i="20"/>
  <c r="AC305" i="20"/>
  <c r="AB305" i="20"/>
  <c r="AA305" i="20"/>
  <c r="Z305" i="20"/>
  <c r="X305" i="20"/>
  <c r="W305" i="20"/>
  <c r="V305" i="20"/>
  <c r="U305" i="20"/>
  <c r="S305" i="20"/>
  <c r="P305" i="20"/>
  <c r="Y305" i="20" s="1"/>
  <c r="M305" i="20"/>
  <c r="L305" i="20"/>
  <c r="K305" i="20"/>
  <c r="J305" i="20"/>
  <c r="I305" i="20"/>
  <c r="H305" i="20"/>
  <c r="G305" i="20"/>
  <c r="F305" i="20"/>
  <c r="E305" i="20"/>
  <c r="D305" i="20"/>
  <c r="AD304" i="20"/>
  <c r="AC304" i="20"/>
  <c r="AB304" i="20"/>
  <c r="AA304" i="20"/>
  <c r="Z304" i="20"/>
  <c r="X304" i="20"/>
  <c r="W304" i="20"/>
  <c r="V304" i="20"/>
  <c r="U304" i="20"/>
  <c r="S304" i="20"/>
  <c r="P304" i="20"/>
  <c r="Y304" i="20" s="1"/>
  <c r="M304" i="20"/>
  <c r="L304" i="20"/>
  <c r="K304" i="20"/>
  <c r="J304" i="20"/>
  <c r="I304" i="20"/>
  <c r="H304" i="20"/>
  <c r="G304" i="20"/>
  <c r="F304" i="20"/>
  <c r="E304" i="20"/>
  <c r="D304" i="20"/>
  <c r="AD303" i="20"/>
  <c r="AC303" i="20"/>
  <c r="AB303" i="20"/>
  <c r="AA303" i="20"/>
  <c r="Z303" i="20"/>
  <c r="X303" i="20"/>
  <c r="W303" i="20"/>
  <c r="V303" i="20"/>
  <c r="U303" i="20"/>
  <c r="S303" i="20"/>
  <c r="P303" i="20"/>
  <c r="Y303" i="20" s="1"/>
  <c r="M303" i="20"/>
  <c r="L303" i="20"/>
  <c r="K303" i="20"/>
  <c r="J303" i="20"/>
  <c r="I303" i="20"/>
  <c r="H303" i="20"/>
  <c r="G303" i="20"/>
  <c r="F303" i="20"/>
  <c r="E303" i="20"/>
  <c r="D303" i="20"/>
  <c r="AD302" i="20"/>
  <c r="AC302" i="20"/>
  <c r="AB302" i="20"/>
  <c r="AA302" i="20"/>
  <c r="Z302" i="20"/>
  <c r="X302" i="20"/>
  <c r="W302" i="20"/>
  <c r="T302" i="20" s="1"/>
  <c r="R302" i="20" s="1"/>
  <c r="V302" i="20"/>
  <c r="U302" i="20"/>
  <c r="S302" i="20"/>
  <c r="P302" i="20"/>
  <c r="Y302" i="20" s="1"/>
  <c r="M302" i="20"/>
  <c r="L302" i="20"/>
  <c r="K302" i="20"/>
  <c r="J302" i="20"/>
  <c r="I302" i="20"/>
  <c r="H302" i="20"/>
  <c r="G302" i="20"/>
  <c r="F302" i="20"/>
  <c r="E302" i="20"/>
  <c r="D302" i="20"/>
  <c r="AD301" i="20"/>
  <c r="AC301" i="20"/>
  <c r="AB301" i="20"/>
  <c r="AA301" i="20"/>
  <c r="Z301" i="20"/>
  <c r="X301" i="20"/>
  <c r="W301" i="20"/>
  <c r="V301" i="20"/>
  <c r="U301" i="20"/>
  <c r="S301" i="20"/>
  <c r="P301" i="20"/>
  <c r="Y301" i="20" s="1"/>
  <c r="M301" i="20"/>
  <c r="L301" i="20"/>
  <c r="K301" i="20"/>
  <c r="J301" i="20"/>
  <c r="I301" i="20"/>
  <c r="H301" i="20"/>
  <c r="G301" i="20"/>
  <c r="F301" i="20"/>
  <c r="E301" i="20"/>
  <c r="D301" i="20"/>
  <c r="AD300" i="20"/>
  <c r="AC300" i="20"/>
  <c r="AB300" i="20"/>
  <c r="AA300" i="20"/>
  <c r="Z300" i="20"/>
  <c r="X300" i="20"/>
  <c r="W300" i="20"/>
  <c r="T300" i="20" s="1"/>
  <c r="R300" i="20" s="1"/>
  <c r="V300" i="20"/>
  <c r="U300" i="20"/>
  <c r="S300" i="20"/>
  <c r="P300" i="20"/>
  <c r="Y300" i="20" s="1"/>
  <c r="M300" i="20"/>
  <c r="L300" i="20"/>
  <c r="K300" i="20"/>
  <c r="J300" i="20"/>
  <c r="I300" i="20"/>
  <c r="H300" i="20"/>
  <c r="G300" i="20"/>
  <c r="F300" i="20"/>
  <c r="E300" i="20"/>
  <c r="D300" i="20"/>
  <c r="AD299" i="20"/>
  <c r="AC299" i="20"/>
  <c r="AB299" i="20"/>
  <c r="AA299" i="20"/>
  <c r="Z299" i="20"/>
  <c r="X299" i="20"/>
  <c r="W299" i="20"/>
  <c r="T299" i="20" s="1"/>
  <c r="R299" i="20" s="1"/>
  <c r="V299" i="20"/>
  <c r="U299" i="20"/>
  <c r="S299" i="20"/>
  <c r="P299" i="20"/>
  <c r="Y299" i="20" s="1"/>
  <c r="M299" i="20"/>
  <c r="L299" i="20"/>
  <c r="K299" i="20"/>
  <c r="J299" i="20"/>
  <c r="I299" i="20"/>
  <c r="H299" i="20"/>
  <c r="G299" i="20"/>
  <c r="F299" i="20"/>
  <c r="E299" i="20"/>
  <c r="D299" i="20"/>
  <c r="AD298" i="20"/>
  <c r="AC298" i="20"/>
  <c r="AB298" i="20"/>
  <c r="AA298" i="20"/>
  <c r="Z298" i="20"/>
  <c r="X298" i="20"/>
  <c r="W298" i="20"/>
  <c r="V298" i="20"/>
  <c r="U298" i="20"/>
  <c r="S298" i="20"/>
  <c r="P298" i="20"/>
  <c r="Y298" i="20" s="1"/>
  <c r="M298" i="20"/>
  <c r="L298" i="20"/>
  <c r="K298" i="20"/>
  <c r="J298" i="20"/>
  <c r="I298" i="20"/>
  <c r="H298" i="20"/>
  <c r="G298" i="20"/>
  <c r="F298" i="20"/>
  <c r="E298" i="20"/>
  <c r="D298" i="20"/>
  <c r="AD297" i="20"/>
  <c r="AC297" i="20"/>
  <c r="AB297" i="20"/>
  <c r="AA297" i="20"/>
  <c r="Z297" i="20"/>
  <c r="X297" i="20"/>
  <c r="W297" i="20"/>
  <c r="V297" i="20"/>
  <c r="U297" i="20"/>
  <c r="S297" i="20"/>
  <c r="P297" i="20"/>
  <c r="Y297" i="20" s="1"/>
  <c r="M297" i="20"/>
  <c r="L297" i="20"/>
  <c r="K297" i="20"/>
  <c r="J297" i="20"/>
  <c r="I297" i="20"/>
  <c r="H297" i="20"/>
  <c r="G297" i="20"/>
  <c r="F297" i="20"/>
  <c r="E297" i="20"/>
  <c r="D297" i="20"/>
  <c r="AD296" i="20"/>
  <c r="AC296" i="20"/>
  <c r="AB296" i="20"/>
  <c r="AA296" i="20"/>
  <c r="Z296" i="20"/>
  <c r="X296" i="20"/>
  <c r="W296" i="20"/>
  <c r="V296" i="20"/>
  <c r="U296" i="20"/>
  <c r="S296" i="20"/>
  <c r="P296" i="20"/>
  <c r="Y296" i="20" s="1"/>
  <c r="M296" i="20"/>
  <c r="L296" i="20"/>
  <c r="K296" i="20"/>
  <c r="J296" i="20"/>
  <c r="I296" i="20"/>
  <c r="H296" i="20"/>
  <c r="G296" i="20"/>
  <c r="F296" i="20"/>
  <c r="E296" i="20"/>
  <c r="D296" i="20"/>
  <c r="AD295" i="20"/>
  <c r="AC295" i="20"/>
  <c r="AB295" i="20"/>
  <c r="AA295" i="20"/>
  <c r="Z295" i="20"/>
  <c r="X295" i="20"/>
  <c r="W295" i="20"/>
  <c r="V295" i="20"/>
  <c r="U295" i="20"/>
  <c r="S295" i="20"/>
  <c r="P295" i="20"/>
  <c r="Y295" i="20" s="1"/>
  <c r="M295" i="20"/>
  <c r="L295" i="20"/>
  <c r="K295" i="20"/>
  <c r="J295" i="20"/>
  <c r="I295" i="20"/>
  <c r="H295" i="20"/>
  <c r="G295" i="20"/>
  <c r="F295" i="20"/>
  <c r="E295" i="20"/>
  <c r="D295" i="20"/>
  <c r="AD294" i="20"/>
  <c r="AC294" i="20"/>
  <c r="AB294" i="20"/>
  <c r="AA294" i="20"/>
  <c r="Z294" i="20"/>
  <c r="X294" i="20"/>
  <c r="W294" i="20"/>
  <c r="T294" i="20" s="1"/>
  <c r="R294" i="20" s="1"/>
  <c r="V294" i="20"/>
  <c r="U294" i="20"/>
  <c r="S294" i="20"/>
  <c r="P294" i="20"/>
  <c r="Y294" i="20" s="1"/>
  <c r="M294" i="20"/>
  <c r="L294" i="20"/>
  <c r="K294" i="20"/>
  <c r="J294" i="20"/>
  <c r="I294" i="20"/>
  <c r="H294" i="20"/>
  <c r="G294" i="20"/>
  <c r="F294" i="20"/>
  <c r="E294" i="20"/>
  <c r="D294" i="20"/>
  <c r="AD293" i="20"/>
  <c r="AC293" i="20"/>
  <c r="AB293" i="20"/>
  <c r="AA293" i="20"/>
  <c r="Z293" i="20"/>
  <c r="X293" i="20"/>
  <c r="W293" i="20"/>
  <c r="V293" i="20"/>
  <c r="U293" i="20"/>
  <c r="S293" i="20"/>
  <c r="P293" i="20"/>
  <c r="Y293" i="20" s="1"/>
  <c r="M293" i="20"/>
  <c r="L293" i="20"/>
  <c r="K293" i="20"/>
  <c r="J293" i="20"/>
  <c r="I293" i="20"/>
  <c r="H293" i="20"/>
  <c r="G293" i="20"/>
  <c r="F293" i="20"/>
  <c r="E293" i="20"/>
  <c r="D293" i="20"/>
  <c r="AD292" i="20"/>
  <c r="AC292" i="20"/>
  <c r="AB292" i="20"/>
  <c r="AA292" i="20"/>
  <c r="Z292" i="20"/>
  <c r="X292" i="20"/>
  <c r="W292" i="20"/>
  <c r="T292" i="20" s="1"/>
  <c r="R292" i="20" s="1"/>
  <c r="V292" i="20"/>
  <c r="U292" i="20"/>
  <c r="S292" i="20"/>
  <c r="P292" i="20"/>
  <c r="Y292" i="20" s="1"/>
  <c r="M292" i="20"/>
  <c r="L292" i="20"/>
  <c r="K292" i="20"/>
  <c r="J292" i="20"/>
  <c r="I292" i="20"/>
  <c r="H292" i="20"/>
  <c r="G292" i="20"/>
  <c r="F292" i="20"/>
  <c r="E292" i="20"/>
  <c r="D292" i="20"/>
  <c r="AD291" i="20"/>
  <c r="AC291" i="20"/>
  <c r="AB291" i="20"/>
  <c r="AA291" i="20"/>
  <c r="Z291" i="20"/>
  <c r="X291" i="20"/>
  <c r="W291" i="20"/>
  <c r="T291" i="20" s="1"/>
  <c r="R291" i="20" s="1"/>
  <c r="V291" i="20"/>
  <c r="U291" i="20"/>
  <c r="S291" i="20"/>
  <c r="P291" i="20"/>
  <c r="Y291" i="20" s="1"/>
  <c r="M291" i="20"/>
  <c r="L291" i="20"/>
  <c r="K291" i="20"/>
  <c r="J291" i="20"/>
  <c r="I291" i="20"/>
  <c r="H291" i="20"/>
  <c r="G291" i="20"/>
  <c r="F291" i="20"/>
  <c r="E291" i="20"/>
  <c r="D291" i="20"/>
  <c r="AD290" i="20"/>
  <c r="AC290" i="20"/>
  <c r="AB290" i="20"/>
  <c r="AA290" i="20"/>
  <c r="Z290" i="20"/>
  <c r="X290" i="20"/>
  <c r="W290" i="20"/>
  <c r="V290" i="20"/>
  <c r="U290" i="20"/>
  <c r="S290" i="20"/>
  <c r="P290" i="20"/>
  <c r="Y290" i="20" s="1"/>
  <c r="M290" i="20"/>
  <c r="L290" i="20"/>
  <c r="K290" i="20"/>
  <c r="J290" i="20"/>
  <c r="I290" i="20"/>
  <c r="H290" i="20"/>
  <c r="G290" i="20"/>
  <c r="F290" i="20"/>
  <c r="E290" i="20"/>
  <c r="D290" i="20"/>
  <c r="AD289" i="20"/>
  <c r="AC289" i="20"/>
  <c r="AB289" i="20"/>
  <c r="AA289" i="20"/>
  <c r="Z289" i="20"/>
  <c r="X289" i="20"/>
  <c r="W289" i="20"/>
  <c r="V289" i="20"/>
  <c r="U289" i="20"/>
  <c r="S289" i="20"/>
  <c r="P289" i="20"/>
  <c r="Y289" i="20" s="1"/>
  <c r="M289" i="20"/>
  <c r="L289" i="20"/>
  <c r="K289" i="20"/>
  <c r="J289" i="20"/>
  <c r="I289" i="20"/>
  <c r="H289" i="20"/>
  <c r="G289" i="20"/>
  <c r="F289" i="20"/>
  <c r="E289" i="20"/>
  <c r="D289" i="20"/>
  <c r="AD288" i="20"/>
  <c r="AC288" i="20"/>
  <c r="AB288" i="20"/>
  <c r="AA288" i="20"/>
  <c r="Z288" i="20"/>
  <c r="X288" i="20"/>
  <c r="W288" i="20"/>
  <c r="V288" i="20"/>
  <c r="U288" i="20"/>
  <c r="S288" i="20"/>
  <c r="P288" i="20"/>
  <c r="Y288" i="20" s="1"/>
  <c r="M288" i="20"/>
  <c r="L288" i="20"/>
  <c r="K288" i="20"/>
  <c r="J288" i="20"/>
  <c r="I288" i="20"/>
  <c r="H288" i="20"/>
  <c r="G288" i="20"/>
  <c r="F288" i="20"/>
  <c r="E288" i="20"/>
  <c r="D288" i="20"/>
  <c r="AD287" i="20"/>
  <c r="AC287" i="20"/>
  <c r="AB287" i="20"/>
  <c r="AA287" i="20"/>
  <c r="Z287" i="20"/>
  <c r="X287" i="20"/>
  <c r="W287" i="20"/>
  <c r="V287" i="20"/>
  <c r="U287" i="20"/>
  <c r="S287" i="20"/>
  <c r="P287" i="20"/>
  <c r="Y287" i="20" s="1"/>
  <c r="M287" i="20"/>
  <c r="L287" i="20"/>
  <c r="K287" i="20"/>
  <c r="J287" i="20"/>
  <c r="I287" i="20"/>
  <c r="H287" i="20"/>
  <c r="G287" i="20"/>
  <c r="F287" i="20"/>
  <c r="E287" i="20"/>
  <c r="D287" i="20"/>
  <c r="AD286" i="20"/>
  <c r="AC286" i="20"/>
  <c r="AB286" i="20"/>
  <c r="AA286" i="20"/>
  <c r="Z286" i="20"/>
  <c r="X286" i="20"/>
  <c r="W286" i="20"/>
  <c r="T286" i="20" s="1"/>
  <c r="R286" i="20" s="1"/>
  <c r="V286" i="20"/>
  <c r="U286" i="20"/>
  <c r="S286" i="20"/>
  <c r="P286" i="20"/>
  <c r="Y286" i="20" s="1"/>
  <c r="M286" i="20"/>
  <c r="L286" i="20"/>
  <c r="K286" i="20"/>
  <c r="J286" i="20"/>
  <c r="I286" i="20"/>
  <c r="H286" i="20"/>
  <c r="G286" i="20"/>
  <c r="F286" i="20"/>
  <c r="E286" i="20"/>
  <c r="D286" i="20"/>
  <c r="AD285" i="20"/>
  <c r="AC285" i="20"/>
  <c r="AB285" i="20"/>
  <c r="AA285" i="20"/>
  <c r="Z285" i="20"/>
  <c r="X285" i="20"/>
  <c r="W285" i="20"/>
  <c r="V285" i="20"/>
  <c r="U285" i="20"/>
  <c r="S285" i="20"/>
  <c r="P285" i="20"/>
  <c r="Y285" i="20" s="1"/>
  <c r="M285" i="20"/>
  <c r="L285" i="20"/>
  <c r="K285" i="20"/>
  <c r="J285" i="20"/>
  <c r="I285" i="20"/>
  <c r="H285" i="20"/>
  <c r="G285" i="20"/>
  <c r="F285" i="20"/>
  <c r="E285" i="20"/>
  <c r="D285" i="20"/>
  <c r="AD284" i="20"/>
  <c r="AC284" i="20"/>
  <c r="AB284" i="20"/>
  <c r="AA284" i="20"/>
  <c r="Z284" i="20"/>
  <c r="X284" i="20"/>
  <c r="W284" i="20"/>
  <c r="T284" i="20" s="1"/>
  <c r="R284" i="20" s="1"/>
  <c r="V284" i="20"/>
  <c r="U284" i="20"/>
  <c r="S284" i="20"/>
  <c r="P284" i="20"/>
  <c r="Y284" i="20" s="1"/>
  <c r="M284" i="20"/>
  <c r="L284" i="20"/>
  <c r="K284" i="20"/>
  <c r="J284" i="20"/>
  <c r="I284" i="20"/>
  <c r="H284" i="20"/>
  <c r="G284" i="20"/>
  <c r="F284" i="20"/>
  <c r="E284" i="20"/>
  <c r="D284" i="20"/>
  <c r="AD283" i="20"/>
  <c r="AC283" i="20"/>
  <c r="AB283" i="20"/>
  <c r="AA283" i="20"/>
  <c r="Z283" i="20"/>
  <c r="X283" i="20"/>
  <c r="W283" i="20"/>
  <c r="T283" i="20" s="1"/>
  <c r="R283" i="20" s="1"/>
  <c r="V283" i="20"/>
  <c r="U283" i="20"/>
  <c r="S283" i="20"/>
  <c r="P283" i="20"/>
  <c r="Y283" i="20" s="1"/>
  <c r="M283" i="20"/>
  <c r="L283" i="20"/>
  <c r="K283" i="20"/>
  <c r="J283" i="20"/>
  <c r="I283" i="20"/>
  <c r="H283" i="20"/>
  <c r="G283" i="20"/>
  <c r="F283" i="20"/>
  <c r="E283" i="20"/>
  <c r="D283" i="20"/>
  <c r="AD282" i="20"/>
  <c r="AC282" i="20"/>
  <c r="AB282" i="20"/>
  <c r="T282" i="20" s="1"/>
  <c r="R282" i="20" s="1"/>
  <c r="AA282" i="20"/>
  <c r="Z282" i="20"/>
  <c r="X282" i="20"/>
  <c r="W282" i="20"/>
  <c r="V282" i="20"/>
  <c r="U282" i="20"/>
  <c r="S282" i="20"/>
  <c r="P282" i="20"/>
  <c r="Y282" i="20" s="1"/>
  <c r="M282" i="20"/>
  <c r="L282" i="20"/>
  <c r="K282" i="20"/>
  <c r="J282" i="20"/>
  <c r="I282" i="20"/>
  <c r="H282" i="20"/>
  <c r="G282" i="20"/>
  <c r="F282" i="20"/>
  <c r="E282" i="20"/>
  <c r="D282" i="20"/>
  <c r="AD281" i="20"/>
  <c r="AC281" i="20"/>
  <c r="AB281" i="20"/>
  <c r="T281" i="20" s="1"/>
  <c r="R281" i="20" s="1"/>
  <c r="AA281" i="20"/>
  <c r="Z281" i="20"/>
  <c r="X281" i="20"/>
  <c r="W281" i="20"/>
  <c r="V281" i="20"/>
  <c r="U281" i="20"/>
  <c r="S281" i="20"/>
  <c r="P281" i="20"/>
  <c r="Y281" i="20" s="1"/>
  <c r="M281" i="20"/>
  <c r="L281" i="20"/>
  <c r="K281" i="20"/>
  <c r="J281" i="20"/>
  <c r="I281" i="20"/>
  <c r="H281" i="20"/>
  <c r="G281" i="20"/>
  <c r="F281" i="20"/>
  <c r="E281" i="20"/>
  <c r="D281" i="20"/>
  <c r="AD280" i="20"/>
  <c r="AC280" i="20"/>
  <c r="AB280" i="20"/>
  <c r="AA280" i="20"/>
  <c r="Z280" i="20"/>
  <c r="X280" i="20"/>
  <c r="W280" i="20"/>
  <c r="T280" i="20" s="1"/>
  <c r="R280" i="20" s="1"/>
  <c r="V280" i="20"/>
  <c r="U280" i="20"/>
  <c r="S280" i="20"/>
  <c r="P280" i="20"/>
  <c r="Y280" i="20" s="1"/>
  <c r="M280" i="20"/>
  <c r="L280" i="20"/>
  <c r="K280" i="20"/>
  <c r="J280" i="20"/>
  <c r="I280" i="20"/>
  <c r="H280" i="20"/>
  <c r="G280" i="20"/>
  <c r="F280" i="20"/>
  <c r="E280" i="20"/>
  <c r="D280" i="20"/>
  <c r="AD279" i="20"/>
  <c r="AC279" i="20"/>
  <c r="AB279" i="20"/>
  <c r="AA279" i="20"/>
  <c r="Z279" i="20"/>
  <c r="X279" i="20"/>
  <c r="W279" i="20"/>
  <c r="T279" i="20" s="1"/>
  <c r="R279" i="20" s="1"/>
  <c r="V279" i="20"/>
  <c r="U279" i="20"/>
  <c r="S279" i="20"/>
  <c r="P279" i="20"/>
  <c r="Y279" i="20" s="1"/>
  <c r="M279" i="20"/>
  <c r="L279" i="20"/>
  <c r="K279" i="20"/>
  <c r="J279" i="20"/>
  <c r="I279" i="20"/>
  <c r="H279" i="20"/>
  <c r="G279" i="20"/>
  <c r="F279" i="20"/>
  <c r="E279" i="20"/>
  <c r="D279" i="20"/>
  <c r="AD278" i="20"/>
  <c r="AC278" i="20"/>
  <c r="AB278" i="20"/>
  <c r="T278" i="20" s="1"/>
  <c r="R278" i="20" s="1"/>
  <c r="AA278" i="20"/>
  <c r="Z278" i="20"/>
  <c r="X278" i="20"/>
  <c r="W278" i="20"/>
  <c r="V278" i="20"/>
  <c r="U278" i="20"/>
  <c r="S278" i="20"/>
  <c r="P278" i="20"/>
  <c r="Y278" i="20" s="1"/>
  <c r="M278" i="20"/>
  <c r="L278" i="20"/>
  <c r="K278" i="20"/>
  <c r="J278" i="20"/>
  <c r="I278" i="20"/>
  <c r="H278" i="20"/>
  <c r="G278" i="20"/>
  <c r="F278" i="20"/>
  <c r="E278" i="20"/>
  <c r="D278" i="20"/>
  <c r="AD277" i="20"/>
  <c r="AC277" i="20"/>
  <c r="AB277" i="20"/>
  <c r="T277" i="20" s="1"/>
  <c r="R277" i="20" s="1"/>
  <c r="AA277" i="20"/>
  <c r="Z277" i="20"/>
  <c r="X277" i="20"/>
  <c r="W277" i="20"/>
  <c r="V277" i="20"/>
  <c r="U277" i="20"/>
  <c r="S277" i="20"/>
  <c r="P277" i="20"/>
  <c r="Y277" i="20" s="1"/>
  <c r="M277" i="20"/>
  <c r="L277" i="20"/>
  <c r="K277" i="20"/>
  <c r="J277" i="20"/>
  <c r="I277" i="20"/>
  <c r="H277" i="20"/>
  <c r="G277" i="20"/>
  <c r="F277" i="20"/>
  <c r="E277" i="20"/>
  <c r="D277" i="20"/>
  <c r="AD276" i="20"/>
  <c r="AC276" i="20"/>
  <c r="AB276" i="20"/>
  <c r="AA276" i="20"/>
  <c r="Z276" i="20"/>
  <c r="X276" i="20"/>
  <c r="W276" i="20"/>
  <c r="T276" i="20" s="1"/>
  <c r="R276" i="20" s="1"/>
  <c r="V276" i="20"/>
  <c r="U276" i="20"/>
  <c r="S276" i="20"/>
  <c r="P276" i="20"/>
  <c r="Y276" i="20" s="1"/>
  <c r="M276" i="20"/>
  <c r="L276" i="20"/>
  <c r="K276" i="20"/>
  <c r="J276" i="20"/>
  <c r="I276" i="20"/>
  <c r="H276" i="20"/>
  <c r="G276" i="20"/>
  <c r="F276" i="20"/>
  <c r="E276" i="20"/>
  <c r="D276" i="20"/>
  <c r="AD275" i="20"/>
  <c r="AC275" i="20"/>
  <c r="AB275" i="20"/>
  <c r="AA275" i="20"/>
  <c r="Z275" i="20"/>
  <c r="X275" i="20"/>
  <c r="W275" i="20"/>
  <c r="T275" i="20" s="1"/>
  <c r="R275" i="20" s="1"/>
  <c r="V275" i="20"/>
  <c r="U275" i="20"/>
  <c r="S275" i="20"/>
  <c r="P275" i="20"/>
  <c r="Y275" i="20" s="1"/>
  <c r="M275" i="20"/>
  <c r="L275" i="20"/>
  <c r="K275" i="20"/>
  <c r="J275" i="20"/>
  <c r="I275" i="20"/>
  <c r="H275" i="20"/>
  <c r="G275" i="20"/>
  <c r="F275" i="20"/>
  <c r="E275" i="20"/>
  <c r="D275" i="20"/>
  <c r="AD274" i="20"/>
  <c r="AC274" i="20"/>
  <c r="AB274" i="20"/>
  <c r="T274" i="20" s="1"/>
  <c r="R274" i="20" s="1"/>
  <c r="AA274" i="20"/>
  <c r="Z274" i="20"/>
  <c r="X274" i="20"/>
  <c r="W274" i="20"/>
  <c r="V274" i="20"/>
  <c r="U274" i="20"/>
  <c r="S274" i="20"/>
  <c r="P274" i="20"/>
  <c r="Y274" i="20" s="1"/>
  <c r="M274" i="20"/>
  <c r="L274" i="20"/>
  <c r="K274" i="20"/>
  <c r="J274" i="20"/>
  <c r="I274" i="20"/>
  <c r="H274" i="20"/>
  <c r="G274" i="20"/>
  <c r="F274" i="20"/>
  <c r="E274" i="20"/>
  <c r="D274" i="20"/>
  <c r="AD273" i="20"/>
  <c r="AC273" i="20"/>
  <c r="AB273" i="20"/>
  <c r="T273" i="20" s="1"/>
  <c r="R273" i="20" s="1"/>
  <c r="AA273" i="20"/>
  <c r="Z273" i="20"/>
  <c r="X273" i="20"/>
  <c r="W273" i="20"/>
  <c r="V273" i="20"/>
  <c r="U273" i="20"/>
  <c r="S273" i="20"/>
  <c r="P273" i="20"/>
  <c r="Y273" i="20" s="1"/>
  <c r="M273" i="20"/>
  <c r="L273" i="20"/>
  <c r="K273" i="20"/>
  <c r="J273" i="20"/>
  <c r="I273" i="20"/>
  <c r="H273" i="20"/>
  <c r="G273" i="20"/>
  <c r="F273" i="20"/>
  <c r="E273" i="20"/>
  <c r="D273" i="20"/>
  <c r="AD272" i="20"/>
  <c r="AC272" i="20"/>
  <c r="AB272" i="20"/>
  <c r="AA272" i="20"/>
  <c r="Z272" i="20"/>
  <c r="X272" i="20"/>
  <c r="W272" i="20"/>
  <c r="T272" i="20" s="1"/>
  <c r="R272" i="20" s="1"/>
  <c r="V272" i="20"/>
  <c r="U272" i="20"/>
  <c r="S272" i="20"/>
  <c r="P272" i="20"/>
  <c r="Y272" i="20" s="1"/>
  <c r="M272" i="20"/>
  <c r="L272" i="20"/>
  <c r="K272" i="20"/>
  <c r="J272" i="20"/>
  <c r="I272" i="20"/>
  <c r="H272" i="20"/>
  <c r="G272" i="20"/>
  <c r="F272" i="20"/>
  <c r="E272" i="20"/>
  <c r="D272" i="20"/>
  <c r="AD271" i="20"/>
  <c r="AC271" i="20"/>
  <c r="AB271" i="20"/>
  <c r="AA271" i="20"/>
  <c r="Z271" i="20"/>
  <c r="X271" i="20"/>
  <c r="W271" i="20"/>
  <c r="T271" i="20" s="1"/>
  <c r="R271" i="20" s="1"/>
  <c r="V271" i="20"/>
  <c r="U271" i="20"/>
  <c r="S271" i="20"/>
  <c r="P271" i="20"/>
  <c r="Y271" i="20" s="1"/>
  <c r="M271" i="20"/>
  <c r="L271" i="20"/>
  <c r="K271" i="20"/>
  <c r="J271" i="20"/>
  <c r="I271" i="20"/>
  <c r="H271" i="20"/>
  <c r="G271" i="20"/>
  <c r="F271" i="20"/>
  <c r="E271" i="20"/>
  <c r="D271" i="20"/>
  <c r="AD270" i="20"/>
  <c r="AC270" i="20"/>
  <c r="AB270" i="20"/>
  <c r="T270" i="20" s="1"/>
  <c r="R270" i="20" s="1"/>
  <c r="AA270" i="20"/>
  <c r="Z270" i="20"/>
  <c r="X270" i="20"/>
  <c r="W270" i="20"/>
  <c r="V270" i="20"/>
  <c r="U270" i="20"/>
  <c r="S270" i="20"/>
  <c r="P270" i="20"/>
  <c r="Y270" i="20" s="1"/>
  <c r="M270" i="20"/>
  <c r="L270" i="20"/>
  <c r="K270" i="20"/>
  <c r="J270" i="20"/>
  <c r="I270" i="20"/>
  <c r="H270" i="20"/>
  <c r="G270" i="20"/>
  <c r="F270" i="20"/>
  <c r="E270" i="20"/>
  <c r="D270" i="20"/>
  <c r="AD269" i="20"/>
  <c r="AC269" i="20"/>
  <c r="AB269" i="20"/>
  <c r="T269" i="20" s="1"/>
  <c r="R269" i="20" s="1"/>
  <c r="AA269" i="20"/>
  <c r="Z269" i="20"/>
  <c r="X269" i="20"/>
  <c r="W269" i="20"/>
  <c r="V269" i="20"/>
  <c r="U269" i="20"/>
  <c r="S269" i="20"/>
  <c r="P269" i="20"/>
  <c r="Y269" i="20" s="1"/>
  <c r="M269" i="20"/>
  <c r="L269" i="20"/>
  <c r="K269" i="20"/>
  <c r="J269" i="20"/>
  <c r="I269" i="20"/>
  <c r="H269" i="20"/>
  <c r="G269" i="20"/>
  <c r="F269" i="20"/>
  <c r="E269" i="20"/>
  <c r="D269" i="20"/>
  <c r="AD268" i="20"/>
  <c r="AC268" i="20"/>
  <c r="AB268" i="20"/>
  <c r="AA268" i="20"/>
  <c r="Z268" i="20"/>
  <c r="X268" i="20"/>
  <c r="W268" i="20"/>
  <c r="T268" i="20" s="1"/>
  <c r="R268" i="20" s="1"/>
  <c r="V268" i="20"/>
  <c r="U268" i="20"/>
  <c r="S268" i="20"/>
  <c r="P268" i="20"/>
  <c r="Y268" i="20" s="1"/>
  <c r="M268" i="20"/>
  <c r="L268" i="20"/>
  <c r="K268" i="20"/>
  <c r="J268" i="20"/>
  <c r="I268" i="20"/>
  <c r="H268" i="20"/>
  <c r="G268" i="20"/>
  <c r="F268" i="20"/>
  <c r="E268" i="20"/>
  <c r="D268" i="20"/>
  <c r="AD267" i="20"/>
  <c r="AC267" i="20"/>
  <c r="AB267" i="20"/>
  <c r="AA267" i="20"/>
  <c r="Z267" i="20"/>
  <c r="X267" i="20"/>
  <c r="W267" i="20"/>
  <c r="V267" i="20"/>
  <c r="T267" i="20" s="1"/>
  <c r="R267" i="20" s="1"/>
  <c r="U267" i="20"/>
  <c r="S267" i="20"/>
  <c r="P267" i="20"/>
  <c r="Y267" i="20" s="1"/>
  <c r="M267" i="20"/>
  <c r="L267" i="20"/>
  <c r="K267" i="20"/>
  <c r="J267" i="20"/>
  <c r="I267" i="20"/>
  <c r="H267" i="20"/>
  <c r="G267" i="20"/>
  <c r="F267" i="20"/>
  <c r="E267" i="20"/>
  <c r="D267" i="20"/>
  <c r="AD266" i="20"/>
  <c r="AC266" i="20"/>
  <c r="AB266" i="20"/>
  <c r="AA266" i="20"/>
  <c r="Z266" i="20"/>
  <c r="X266" i="20"/>
  <c r="W266" i="20"/>
  <c r="V266" i="20"/>
  <c r="T266" i="20" s="1"/>
  <c r="R266" i="20" s="1"/>
  <c r="U266" i="20"/>
  <c r="S266" i="20"/>
  <c r="P266" i="20"/>
  <c r="Y266" i="20" s="1"/>
  <c r="M266" i="20"/>
  <c r="L266" i="20"/>
  <c r="K266" i="20"/>
  <c r="J266" i="20"/>
  <c r="I266" i="20"/>
  <c r="H266" i="20"/>
  <c r="G266" i="20"/>
  <c r="F266" i="20"/>
  <c r="E266" i="20"/>
  <c r="D266" i="20"/>
  <c r="AD265" i="20"/>
  <c r="AC265" i="20"/>
  <c r="AB265" i="20"/>
  <c r="AA265" i="20"/>
  <c r="Z265" i="20"/>
  <c r="X265" i="20"/>
  <c r="W265" i="20"/>
  <c r="V265" i="20"/>
  <c r="U265" i="20"/>
  <c r="T265" i="20"/>
  <c r="R265" i="20" s="1"/>
  <c r="S265" i="20"/>
  <c r="P265" i="20"/>
  <c r="Y265" i="20" s="1"/>
  <c r="M265" i="20"/>
  <c r="L265" i="20"/>
  <c r="K265" i="20"/>
  <c r="J265" i="20"/>
  <c r="I265" i="20"/>
  <c r="H265" i="20"/>
  <c r="G265" i="20"/>
  <c r="F265" i="20"/>
  <c r="E265" i="20"/>
  <c r="D265" i="20"/>
  <c r="AD264" i="20"/>
  <c r="AC264" i="20"/>
  <c r="AB264" i="20"/>
  <c r="AA264" i="20"/>
  <c r="Z264" i="20"/>
  <c r="X264" i="20"/>
  <c r="W264" i="20"/>
  <c r="T264" i="20" s="1"/>
  <c r="R264" i="20" s="1"/>
  <c r="V264" i="20"/>
  <c r="U264" i="20"/>
  <c r="S264" i="20"/>
  <c r="P264" i="20"/>
  <c r="Y264" i="20" s="1"/>
  <c r="M264" i="20"/>
  <c r="L264" i="20"/>
  <c r="K264" i="20"/>
  <c r="J264" i="20"/>
  <c r="I264" i="20"/>
  <c r="H264" i="20"/>
  <c r="G264" i="20"/>
  <c r="F264" i="20"/>
  <c r="E264" i="20"/>
  <c r="D264" i="20"/>
  <c r="AD263" i="20"/>
  <c r="AC263" i="20"/>
  <c r="AB263" i="20"/>
  <c r="AA263" i="20"/>
  <c r="Z263" i="20"/>
  <c r="X263" i="20"/>
  <c r="W263" i="20"/>
  <c r="V263" i="20"/>
  <c r="T263" i="20" s="1"/>
  <c r="R263" i="20" s="1"/>
  <c r="U263" i="20"/>
  <c r="S263" i="20"/>
  <c r="P263" i="20"/>
  <c r="Y263" i="20" s="1"/>
  <c r="M263" i="20"/>
  <c r="L263" i="20"/>
  <c r="K263" i="20"/>
  <c r="J263" i="20"/>
  <c r="I263" i="20"/>
  <c r="H263" i="20"/>
  <c r="G263" i="20"/>
  <c r="F263" i="20"/>
  <c r="E263" i="20"/>
  <c r="D263" i="20"/>
  <c r="AD262" i="20"/>
  <c r="AC262" i="20"/>
  <c r="AB262" i="20"/>
  <c r="AA262" i="20"/>
  <c r="Z262" i="20"/>
  <c r="X262" i="20"/>
  <c r="W262" i="20"/>
  <c r="V262" i="20"/>
  <c r="T262" i="20" s="1"/>
  <c r="R262" i="20" s="1"/>
  <c r="U262" i="20"/>
  <c r="S262" i="20"/>
  <c r="P262" i="20"/>
  <c r="Y262" i="20" s="1"/>
  <c r="M262" i="20"/>
  <c r="L262" i="20"/>
  <c r="K262" i="20"/>
  <c r="J262" i="20"/>
  <c r="I262" i="20"/>
  <c r="H262" i="20"/>
  <c r="G262" i="20"/>
  <c r="F262" i="20"/>
  <c r="E262" i="20"/>
  <c r="D262" i="20"/>
  <c r="AD261" i="20"/>
  <c r="AC261" i="20"/>
  <c r="AB261" i="20"/>
  <c r="AA261" i="20"/>
  <c r="Z261" i="20"/>
  <c r="X261" i="20"/>
  <c r="W261" i="20"/>
  <c r="V261" i="20"/>
  <c r="U261" i="20"/>
  <c r="T261" i="20"/>
  <c r="R261" i="20" s="1"/>
  <c r="S261" i="20"/>
  <c r="P261" i="20"/>
  <c r="Y261" i="20" s="1"/>
  <c r="M261" i="20"/>
  <c r="L261" i="20"/>
  <c r="K261" i="20"/>
  <c r="J261" i="20"/>
  <c r="I261" i="20"/>
  <c r="H261" i="20"/>
  <c r="G261" i="20"/>
  <c r="F261" i="20"/>
  <c r="E261" i="20"/>
  <c r="D261" i="20"/>
  <c r="AD260" i="20"/>
  <c r="AC260" i="20"/>
  <c r="AB260" i="20"/>
  <c r="AA260" i="20"/>
  <c r="Z260" i="20"/>
  <c r="X260" i="20"/>
  <c r="W260" i="20"/>
  <c r="T260" i="20" s="1"/>
  <c r="R260" i="20" s="1"/>
  <c r="V260" i="20"/>
  <c r="U260" i="20"/>
  <c r="S260" i="20"/>
  <c r="P260" i="20"/>
  <c r="Y260" i="20" s="1"/>
  <c r="M260" i="20"/>
  <c r="L260" i="20"/>
  <c r="K260" i="20"/>
  <c r="J260" i="20"/>
  <c r="I260" i="20"/>
  <c r="H260" i="20"/>
  <c r="G260" i="20"/>
  <c r="F260" i="20"/>
  <c r="E260" i="20"/>
  <c r="D260" i="20"/>
  <c r="AD259" i="20"/>
  <c r="AC259" i="20"/>
  <c r="AB259" i="20"/>
  <c r="AA259" i="20"/>
  <c r="Z259" i="20"/>
  <c r="X259" i="20"/>
  <c r="W259" i="20"/>
  <c r="V259" i="20"/>
  <c r="U259" i="20"/>
  <c r="T259" i="20" s="1"/>
  <c r="R259" i="20" s="1"/>
  <c r="S259" i="20"/>
  <c r="P259" i="20"/>
  <c r="Y259" i="20" s="1"/>
  <c r="M259" i="20"/>
  <c r="L259" i="20"/>
  <c r="K259" i="20"/>
  <c r="J259" i="20"/>
  <c r="I259" i="20"/>
  <c r="H259" i="20"/>
  <c r="G259" i="20"/>
  <c r="F259" i="20"/>
  <c r="E259" i="20"/>
  <c r="D259" i="20"/>
  <c r="AD258" i="20"/>
  <c r="AC258" i="20"/>
  <c r="AB258" i="20"/>
  <c r="AA258" i="20"/>
  <c r="Z258" i="20"/>
  <c r="X258" i="20"/>
  <c r="W258" i="20"/>
  <c r="V258" i="20"/>
  <c r="U258" i="20"/>
  <c r="T258" i="20" s="1"/>
  <c r="R258" i="20" s="1"/>
  <c r="S258" i="20"/>
  <c r="P258" i="20"/>
  <c r="Y258" i="20" s="1"/>
  <c r="M258" i="20"/>
  <c r="L258" i="20"/>
  <c r="K258" i="20"/>
  <c r="J258" i="20"/>
  <c r="I258" i="20"/>
  <c r="H258" i="20"/>
  <c r="G258" i="20"/>
  <c r="F258" i="20"/>
  <c r="E258" i="20"/>
  <c r="D258" i="20"/>
  <c r="AD257" i="20"/>
  <c r="AC257" i="20"/>
  <c r="AB257" i="20"/>
  <c r="AA257" i="20"/>
  <c r="Z257" i="20"/>
  <c r="X257" i="20"/>
  <c r="W257" i="20"/>
  <c r="V257" i="20"/>
  <c r="U257" i="20"/>
  <c r="T257" i="20"/>
  <c r="R257" i="20" s="1"/>
  <c r="S257" i="20"/>
  <c r="P257" i="20"/>
  <c r="Y257" i="20" s="1"/>
  <c r="M257" i="20"/>
  <c r="L257" i="20"/>
  <c r="K257" i="20"/>
  <c r="J257" i="20"/>
  <c r="I257" i="20"/>
  <c r="H257" i="20"/>
  <c r="G257" i="20"/>
  <c r="F257" i="20"/>
  <c r="E257" i="20"/>
  <c r="D257" i="20"/>
  <c r="AD256" i="20"/>
  <c r="AC256" i="20"/>
  <c r="AB256" i="20"/>
  <c r="AA256" i="20"/>
  <c r="Z256" i="20"/>
  <c r="X256" i="20"/>
  <c r="W256" i="20"/>
  <c r="T256" i="20" s="1"/>
  <c r="R256" i="20" s="1"/>
  <c r="V256" i="20"/>
  <c r="U256" i="20"/>
  <c r="S256" i="20"/>
  <c r="P256" i="20"/>
  <c r="Y256" i="20" s="1"/>
  <c r="M256" i="20"/>
  <c r="L256" i="20"/>
  <c r="K256" i="20"/>
  <c r="J256" i="20"/>
  <c r="I256" i="20"/>
  <c r="H256" i="20"/>
  <c r="G256" i="20"/>
  <c r="F256" i="20"/>
  <c r="E256" i="20"/>
  <c r="D256" i="20"/>
  <c r="AD255" i="20"/>
  <c r="AC255" i="20"/>
  <c r="AB255" i="20"/>
  <c r="AA255" i="20"/>
  <c r="Z255" i="20"/>
  <c r="X255" i="20"/>
  <c r="W255" i="20"/>
  <c r="V255" i="20"/>
  <c r="U255" i="20"/>
  <c r="T255" i="20" s="1"/>
  <c r="R255" i="20" s="1"/>
  <c r="S255" i="20"/>
  <c r="P255" i="20"/>
  <c r="Y255" i="20" s="1"/>
  <c r="M255" i="20"/>
  <c r="L255" i="20"/>
  <c r="K255" i="20"/>
  <c r="J255" i="20"/>
  <c r="I255" i="20"/>
  <c r="H255" i="20"/>
  <c r="G255" i="20"/>
  <c r="F255" i="20"/>
  <c r="E255" i="20"/>
  <c r="D255" i="20"/>
  <c r="AD254" i="20"/>
  <c r="AC254" i="20"/>
  <c r="AB254" i="20"/>
  <c r="AA254" i="20"/>
  <c r="Z254" i="20"/>
  <c r="X254" i="20"/>
  <c r="W254" i="20"/>
  <c r="V254" i="20"/>
  <c r="U254" i="20"/>
  <c r="T254" i="20" s="1"/>
  <c r="R254" i="20" s="1"/>
  <c r="S254" i="20"/>
  <c r="P254" i="20"/>
  <c r="Y254" i="20" s="1"/>
  <c r="M254" i="20"/>
  <c r="L254" i="20"/>
  <c r="K254" i="20"/>
  <c r="J254" i="20"/>
  <c r="I254" i="20"/>
  <c r="H254" i="20"/>
  <c r="G254" i="20"/>
  <c r="F254" i="20"/>
  <c r="E254" i="20"/>
  <c r="D254" i="20"/>
  <c r="AD253" i="20"/>
  <c r="AC253" i="20"/>
  <c r="AB253" i="20"/>
  <c r="AA253" i="20"/>
  <c r="Z253" i="20"/>
  <c r="X253" i="20"/>
  <c r="W253" i="20"/>
  <c r="V253" i="20"/>
  <c r="U253" i="20"/>
  <c r="T253" i="20"/>
  <c r="R253" i="20" s="1"/>
  <c r="S253" i="20"/>
  <c r="P253" i="20"/>
  <c r="Y253" i="20" s="1"/>
  <c r="M253" i="20"/>
  <c r="L253" i="20"/>
  <c r="K253" i="20"/>
  <c r="J253" i="20"/>
  <c r="I253" i="20"/>
  <c r="H253" i="20"/>
  <c r="G253" i="20"/>
  <c r="F253" i="20"/>
  <c r="E253" i="20"/>
  <c r="D253" i="20"/>
  <c r="AD252" i="20"/>
  <c r="AC252" i="20"/>
  <c r="AB252" i="20"/>
  <c r="AA252" i="20"/>
  <c r="Z252" i="20"/>
  <c r="X252" i="20"/>
  <c r="W252" i="20"/>
  <c r="T252" i="20" s="1"/>
  <c r="R252" i="20" s="1"/>
  <c r="V252" i="20"/>
  <c r="U252" i="20"/>
  <c r="S252" i="20"/>
  <c r="P252" i="20"/>
  <c r="Y252" i="20" s="1"/>
  <c r="M252" i="20"/>
  <c r="L252" i="20"/>
  <c r="K252" i="20"/>
  <c r="J252" i="20"/>
  <c r="I252" i="20"/>
  <c r="H252" i="20"/>
  <c r="G252" i="20"/>
  <c r="F252" i="20"/>
  <c r="E252" i="20"/>
  <c r="D252" i="20"/>
  <c r="AD251" i="20"/>
  <c r="AC251" i="20"/>
  <c r="AB251" i="20"/>
  <c r="AA251" i="20"/>
  <c r="Z251" i="20"/>
  <c r="X251" i="20"/>
  <c r="W251" i="20"/>
  <c r="V251" i="20"/>
  <c r="U251" i="20"/>
  <c r="T251" i="20" s="1"/>
  <c r="R251" i="20" s="1"/>
  <c r="S251" i="20"/>
  <c r="P251" i="20"/>
  <c r="Y251" i="20" s="1"/>
  <c r="M251" i="20"/>
  <c r="L251" i="20"/>
  <c r="K251" i="20"/>
  <c r="J251" i="20"/>
  <c r="I251" i="20"/>
  <c r="H251" i="20"/>
  <c r="G251" i="20"/>
  <c r="F251" i="20"/>
  <c r="E251" i="20"/>
  <c r="D251" i="20"/>
  <c r="AD250" i="20"/>
  <c r="AC250" i="20"/>
  <c r="AB250" i="20"/>
  <c r="AA250" i="20"/>
  <c r="Z250" i="20"/>
  <c r="X250" i="20"/>
  <c r="W250" i="20"/>
  <c r="V250" i="20"/>
  <c r="U250" i="20"/>
  <c r="S250" i="20"/>
  <c r="P250" i="20"/>
  <c r="Y250" i="20" s="1"/>
  <c r="M250" i="20"/>
  <c r="L250" i="20"/>
  <c r="K250" i="20"/>
  <c r="J250" i="20"/>
  <c r="I250" i="20"/>
  <c r="H250" i="20"/>
  <c r="G250" i="20"/>
  <c r="F250" i="20"/>
  <c r="E250" i="20"/>
  <c r="D250" i="20"/>
  <c r="T250" i="20" s="1"/>
  <c r="R250" i="20" s="1"/>
  <c r="AD249" i="20"/>
  <c r="AC249" i="20"/>
  <c r="AB249" i="20"/>
  <c r="AA249" i="20"/>
  <c r="Z249" i="20"/>
  <c r="X249" i="20"/>
  <c r="W249" i="20"/>
  <c r="V249" i="20"/>
  <c r="U249" i="20"/>
  <c r="T249" i="20" s="1"/>
  <c r="R249" i="20" s="1"/>
  <c r="S249" i="20"/>
  <c r="P249" i="20"/>
  <c r="Y249" i="20" s="1"/>
  <c r="M249" i="20"/>
  <c r="L249" i="20"/>
  <c r="K249" i="20"/>
  <c r="J249" i="20"/>
  <c r="I249" i="20"/>
  <c r="H249" i="20"/>
  <c r="G249" i="20"/>
  <c r="F249" i="20"/>
  <c r="E249" i="20"/>
  <c r="D249" i="20"/>
  <c r="AD248" i="20"/>
  <c r="AC248" i="20"/>
  <c r="AB248" i="20"/>
  <c r="AA248" i="20"/>
  <c r="Z248" i="20"/>
  <c r="X248" i="20"/>
  <c r="W248" i="20"/>
  <c r="V248" i="20"/>
  <c r="U248" i="20"/>
  <c r="T248" i="20" s="1"/>
  <c r="R248" i="20" s="1"/>
  <c r="S248" i="20"/>
  <c r="P248" i="20"/>
  <c r="Y248" i="20" s="1"/>
  <c r="M248" i="20"/>
  <c r="L248" i="20"/>
  <c r="K248" i="20"/>
  <c r="J248" i="20"/>
  <c r="I248" i="20"/>
  <c r="H248" i="20"/>
  <c r="G248" i="20"/>
  <c r="F248" i="20"/>
  <c r="E248" i="20"/>
  <c r="D248" i="20"/>
  <c r="AD247" i="20"/>
  <c r="AC247" i="20"/>
  <c r="AB247" i="20"/>
  <c r="AA247" i="20"/>
  <c r="Z247" i="20"/>
  <c r="X247" i="20"/>
  <c r="W247" i="20"/>
  <c r="V247" i="20"/>
  <c r="U247" i="20"/>
  <c r="S247" i="20"/>
  <c r="P247" i="20"/>
  <c r="Y247" i="20" s="1"/>
  <c r="M247" i="20"/>
  <c r="L247" i="20"/>
  <c r="K247" i="20"/>
  <c r="J247" i="20"/>
  <c r="I247" i="20"/>
  <c r="T247" i="20" s="1"/>
  <c r="R247" i="20" s="1"/>
  <c r="H247" i="20"/>
  <c r="G247" i="20"/>
  <c r="F247" i="20"/>
  <c r="E247" i="20"/>
  <c r="D247" i="20"/>
  <c r="AD246" i="20"/>
  <c r="AC246" i="20"/>
  <c r="AB246" i="20"/>
  <c r="AA246" i="20"/>
  <c r="Z246" i="20"/>
  <c r="X246" i="20"/>
  <c r="W246" i="20"/>
  <c r="V246" i="20"/>
  <c r="U246" i="20"/>
  <c r="T246" i="20" s="1"/>
  <c r="R246" i="20" s="1"/>
  <c r="S246" i="20"/>
  <c r="P246" i="20"/>
  <c r="Y246" i="20" s="1"/>
  <c r="M246" i="20"/>
  <c r="L246" i="20"/>
  <c r="K246" i="20"/>
  <c r="J246" i="20"/>
  <c r="I246" i="20"/>
  <c r="H246" i="20"/>
  <c r="G246" i="20"/>
  <c r="F246" i="20"/>
  <c r="E246" i="20"/>
  <c r="D246" i="20"/>
  <c r="AD245" i="20"/>
  <c r="AC245" i="20"/>
  <c r="AB245" i="20"/>
  <c r="AA245" i="20"/>
  <c r="Z245" i="20"/>
  <c r="X245" i="20"/>
  <c r="W245" i="20"/>
  <c r="T245" i="20" s="1"/>
  <c r="R245" i="20" s="1"/>
  <c r="V245" i="20"/>
  <c r="U245" i="20"/>
  <c r="S245" i="20"/>
  <c r="P245" i="20"/>
  <c r="Y245" i="20" s="1"/>
  <c r="M245" i="20"/>
  <c r="L245" i="20"/>
  <c r="K245" i="20"/>
  <c r="J245" i="20"/>
  <c r="I245" i="20"/>
  <c r="H245" i="20"/>
  <c r="G245" i="20"/>
  <c r="F245" i="20"/>
  <c r="E245" i="20"/>
  <c r="D245" i="20"/>
  <c r="AD244" i="20"/>
  <c r="AC244" i="20"/>
  <c r="AB244" i="20"/>
  <c r="AA244" i="20"/>
  <c r="Z244" i="20"/>
  <c r="X244" i="20"/>
  <c r="W244" i="20"/>
  <c r="V244" i="20"/>
  <c r="U244" i="20"/>
  <c r="T244" i="20" s="1"/>
  <c r="R244" i="20" s="1"/>
  <c r="S244" i="20"/>
  <c r="P244" i="20"/>
  <c r="Y244" i="20" s="1"/>
  <c r="M244" i="20"/>
  <c r="L244" i="20"/>
  <c r="K244" i="20"/>
  <c r="J244" i="20"/>
  <c r="I244" i="20"/>
  <c r="H244" i="20"/>
  <c r="G244" i="20"/>
  <c r="F244" i="20"/>
  <c r="E244" i="20"/>
  <c r="D244" i="20"/>
  <c r="AD243" i="20"/>
  <c r="AC243" i="20"/>
  <c r="AB243" i="20"/>
  <c r="AA243" i="20"/>
  <c r="Z243" i="20"/>
  <c r="X243" i="20"/>
  <c r="W243" i="20"/>
  <c r="V243" i="20"/>
  <c r="U243" i="20"/>
  <c r="T243" i="20" s="1"/>
  <c r="R243" i="20" s="1"/>
  <c r="S243" i="20"/>
  <c r="P243" i="20"/>
  <c r="Y243" i="20" s="1"/>
  <c r="M243" i="20"/>
  <c r="L243" i="20"/>
  <c r="K243" i="20"/>
  <c r="J243" i="20"/>
  <c r="I243" i="20"/>
  <c r="H243" i="20"/>
  <c r="G243" i="20"/>
  <c r="F243" i="20"/>
  <c r="E243" i="20"/>
  <c r="D243" i="20"/>
  <c r="AD242" i="20"/>
  <c r="AC242" i="20"/>
  <c r="AB242" i="20"/>
  <c r="AA242" i="20"/>
  <c r="Z242" i="20"/>
  <c r="X242" i="20"/>
  <c r="W242" i="20"/>
  <c r="V242" i="20"/>
  <c r="U242" i="20"/>
  <c r="S242" i="20"/>
  <c r="P242" i="20"/>
  <c r="Y242" i="20" s="1"/>
  <c r="M242" i="20"/>
  <c r="L242" i="20"/>
  <c r="K242" i="20"/>
  <c r="J242" i="20"/>
  <c r="I242" i="20"/>
  <c r="H242" i="20"/>
  <c r="G242" i="20"/>
  <c r="F242" i="20"/>
  <c r="E242" i="20"/>
  <c r="D242" i="20"/>
  <c r="T242" i="20" s="1"/>
  <c r="R242" i="20" s="1"/>
  <c r="AD241" i="20"/>
  <c r="AC241" i="20"/>
  <c r="AB241" i="20"/>
  <c r="AA241" i="20"/>
  <c r="Z241" i="20"/>
  <c r="X241" i="20"/>
  <c r="W241" i="20"/>
  <c r="V241" i="20"/>
  <c r="U241" i="20"/>
  <c r="T241" i="20" s="1"/>
  <c r="R241" i="20" s="1"/>
  <c r="S241" i="20"/>
  <c r="P241" i="20"/>
  <c r="Y241" i="20" s="1"/>
  <c r="M241" i="20"/>
  <c r="L241" i="20"/>
  <c r="K241" i="20"/>
  <c r="J241" i="20"/>
  <c r="I241" i="20"/>
  <c r="H241" i="20"/>
  <c r="G241" i="20"/>
  <c r="F241" i="20"/>
  <c r="E241" i="20"/>
  <c r="D241" i="20"/>
  <c r="AD240" i="20"/>
  <c r="AC240" i="20"/>
  <c r="AB240" i="20"/>
  <c r="AA240" i="20"/>
  <c r="Z240" i="20"/>
  <c r="X240" i="20"/>
  <c r="W240" i="20"/>
  <c r="V240" i="20"/>
  <c r="U240" i="20"/>
  <c r="S240" i="20"/>
  <c r="P240" i="20"/>
  <c r="Y240" i="20" s="1"/>
  <c r="M240" i="20"/>
  <c r="L240" i="20"/>
  <c r="K240" i="20"/>
  <c r="J240" i="20"/>
  <c r="I240" i="20"/>
  <c r="T240" i="20" s="1"/>
  <c r="R240" i="20" s="1"/>
  <c r="H240" i="20"/>
  <c r="G240" i="20"/>
  <c r="F240" i="20"/>
  <c r="E240" i="20"/>
  <c r="D240" i="20"/>
  <c r="AD239" i="20"/>
  <c r="AC239" i="20"/>
  <c r="AB239" i="20"/>
  <c r="T239" i="20" s="1"/>
  <c r="R239" i="20" s="1"/>
  <c r="AA239" i="20"/>
  <c r="Z239" i="20"/>
  <c r="X239" i="20"/>
  <c r="W239" i="20"/>
  <c r="V239" i="20"/>
  <c r="U239" i="20"/>
  <c r="S239" i="20"/>
  <c r="P239" i="20"/>
  <c r="Y239" i="20" s="1"/>
  <c r="M239" i="20"/>
  <c r="L239" i="20"/>
  <c r="K239" i="20"/>
  <c r="J239" i="20"/>
  <c r="I239" i="20"/>
  <c r="H239" i="20"/>
  <c r="G239" i="20"/>
  <c r="F239" i="20"/>
  <c r="E239" i="20"/>
  <c r="D239" i="20"/>
  <c r="AD238" i="20"/>
  <c r="AC238" i="20"/>
  <c r="AB238" i="20"/>
  <c r="AA238" i="20"/>
  <c r="Z238" i="20"/>
  <c r="X238" i="20"/>
  <c r="W238" i="20"/>
  <c r="V238" i="20"/>
  <c r="U238" i="20"/>
  <c r="T238" i="20" s="1"/>
  <c r="R238" i="20" s="1"/>
  <c r="S238" i="20"/>
  <c r="P238" i="20"/>
  <c r="Y238" i="20" s="1"/>
  <c r="M238" i="20"/>
  <c r="L238" i="20"/>
  <c r="K238" i="20"/>
  <c r="J238" i="20"/>
  <c r="I238" i="20"/>
  <c r="H238" i="20"/>
  <c r="G238" i="20"/>
  <c r="F238" i="20"/>
  <c r="E238" i="20"/>
  <c r="D238" i="20"/>
  <c r="AD237" i="20"/>
  <c r="AC237" i="20"/>
  <c r="AB237" i="20"/>
  <c r="AA237" i="20"/>
  <c r="Z237" i="20"/>
  <c r="X237" i="20"/>
  <c r="W237" i="20"/>
  <c r="T237" i="20" s="1"/>
  <c r="R237" i="20" s="1"/>
  <c r="V237" i="20"/>
  <c r="U237" i="20"/>
  <c r="S237" i="20"/>
  <c r="P237" i="20"/>
  <c r="Y237" i="20" s="1"/>
  <c r="M237" i="20"/>
  <c r="L237" i="20"/>
  <c r="K237" i="20"/>
  <c r="J237" i="20"/>
  <c r="I237" i="20"/>
  <c r="H237" i="20"/>
  <c r="G237" i="20"/>
  <c r="F237" i="20"/>
  <c r="E237" i="20"/>
  <c r="D237" i="20"/>
  <c r="AD236" i="20"/>
  <c r="AC236" i="20"/>
  <c r="AB236" i="20"/>
  <c r="AA236" i="20"/>
  <c r="Z236" i="20"/>
  <c r="X236" i="20"/>
  <c r="W236" i="20"/>
  <c r="V236" i="20"/>
  <c r="U236" i="20"/>
  <c r="T236" i="20" s="1"/>
  <c r="R236" i="20" s="1"/>
  <c r="S236" i="20"/>
  <c r="P236" i="20"/>
  <c r="Y236" i="20" s="1"/>
  <c r="M236" i="20"/>
  <c r="L236" i="20"/>
  <c r="K236" i="20"/>
  <c r="J236" i="20"/>
  <c r="I236" i="20"/>
  <c r="H236" i="20"/>
  <c r="G236" i="20"/>
  <c r="F236" i="20"/>
  <c r="E236" i="20"/>
  <c r="D236" i="20"/>
  <c r="AD235" i="20"/>
  <c r="AC235" i="20"/>
  <c r="AB235" i="20"/>
  <c r="AA235" i="20"/>
  <c r="Z235" i="20"/>
  <c r="X235" i="20"/>
  <c r="W235" i="20"/>
  <c r="V235" i="20"/>
  <c r="U235" i="20"/>
  <c r="T235" i="20" s="1"/>
  <c r="R235" i="20" s="1"/>
  <c r="S235" i="20"/>
  <c r="P235" i="20"/>
  <c r="Y235" i="20" s="1"/>
  <c r="M235" i="20"/>
  <c r="L235" i="20"/>
  <c r="K235" i="20"/>
  <c r="J235" i="20"/>
  <c r="I235" i="20"/>
  <c r="H235" i="20"/>
  <c r="G235" i="20"/>
  <c r="F235" i="20"/>
  <c r="E235" i="20"/>
  <c r="D235" i="20"/>
  <c r="AD234" i="20"/>
  <c r="AC234" i="20"/>
  <c r="AB234" i="20"/>
  <c r="AA234" i="20"/>
  <c r="Z234" i="20"/>
  <c r="X234" i="20"/>
  <c r="W234" i="20"/>
  <c r="V234" i="20"/>
  <c r="U234" i="20"/>
  <c r="S234" i="20"/>
  <c r="P234" i="20"/>
  <c r="Y234" i="20" s="1"/>
  <c r="M234" i="20"/>
  <c r="L234" i="20"/>
  <c r="K234" i="20"/>
  <c r="J234" i="20"/>
  <c r="I234" i="20"/>
  <c r="H234" i="20"/>
  <c r="G234" i="20"/>
  <c r="F234" i="20"/>
  <c r="E234" i="20"/>
  <c r="D234" i="20"/>
  <c r="T234" i="20" s="1"/>
  <c r="R234" i="20" s="1"/>
  <c r="AD233" i="20"/>
  <c r="AC233" i="20"/>
  <c r="AB233" i="20"/>
  <c r="AA233" i="20"/>
  <c r="Z233" i="20"/>
  <c r="X233" i="20"/>
  <c r="W233" i="20"/>
  <c r="V233" i="20"/>
  <c r="U233" i="20"/>
  <c r="T233" i="20" s="1"/>
  <c r="R233" i="20" s="1"/>
  <c r="S233" i="20"/>
  <c r="P233" i="20"/>
  <c r="Y233" i="20" s="1"/>
  <c r="M233" i="20"/>
  <c r="L233" i="20"/>
  <c r="K233" i="20"/>
  <c r="J233" i="20"/>
  <c r="I233" i="20"/>
  <c r="H233" i="20"/>
  <c r="G233" i="20"/>
  <c r="F233" i="20"/>
  <c r="E233" i="20"/>
  <c r="D233" i="20"/>
  <c r="AD232" i="20"/>
  <c r="AC232" i="20"/>
  <c r="AB232" i="20"/>
  <c r="AA232" i="20"/>
  <c r="Z232" i="20"/>
  <c r="X232" i="20"/>
  <c r="W232" i="20"/>
  <c r="V232" i="20"/>
  <c r="U232" i="20"/>
  <c r="S232" i="20"/>
  <c r="P232" i="20"/>
  <c r="Y232" i="20" s="1"/>
  <c r="M232" i="20"/>
  <c r="L232" i="20"/>
  <c r="K232" i="20"/>
  <c r="J232" i="20"/>
  <c r="I232" i="20"/>
  <c r="T232" i="20" s="1"/>
  <c r="R232" i="20" s="1"/>
  <c r="H232" i="20"/>
  <c r="G232" i="20"/>
  <c r="F232" i="20"/>
  <c r="E232" i="20"/>
  <c r="D232" i="20"/>
  <c r="AD231" i="20"/>
  <c r="AC231" i="20"/>
  <c r="AB231" i="20"/>
  <c r="T231" i="20" s="1"/>
  <c r="R231" i="20" s="1"/>
  <c r="AA231" i="20"/>
  <c r="Z231" i="20"/>
  <c r="X231" i="20"/>
  <c r="W231" i="20"/>
  <c r="V231" i="20"/>
  <c r="U231" i="20"/>
  <c r="S231" i="20"/>
  <c r="P231" i="20"/>
  <c r="Y231" i="20" s="1"/>
  <c r="M231" i="20"/>
  <c r="L231" i="20"/>
  <c r="K231" i="20"/>
  <c r="J231" i="20"/>
  <c r="I231" i="20"/>
  <c r="H231" i="20"/>
  <c r="G231" i="20"/>
  <c r="F231" i="20"/>
  <c r="E231" i="20"/>
  <c r="D231" i="20"/>
  <c r="AD230" i="20"/>
  <c r="AC230" i="20"/>
  <c r="AB230" i="20"/>
  <c r="AA230" i="20"/>
  <c r="Z230" i="20"/>
  <c r="X230" i="20"/>
  <c r="W230" i="20"/>
  <c r="V230" i="20"/>
  <c r="U230" i="20"/>
  <c r="T230" i="20" s="1"/>
  <c r="R230" i="20" s="1"/>
  <c r="S230" i="20"/>
  <c r="P230" i="20"/>
  <c r="Y230" i="20" s="1"/>
  <c r="M230" i="20"/>
  <c r="L230" i="20"/>
  <c r="K230" i="20"/>
  <c r="J230" i="20"/>
  <c r="I230" i="20"/>
  <c r="H230" i="20"/>
  <c r="G230" i="20"/>
  <c r="F230" i="20"/>
  <c r="E230" i="20"/>
  <c r="D230" i="20"/>
  <c r="AD229" i="20"/>
  <c r="AC229" i="20"/>
  <c r="AB229" i="20"/>
  <c r="AA229" i="20"/>
  <c r="Z229" i="20"/>
  <c r="X229" i="20"/>
  <c r="W229" i="20"/>
  <c r="T229" i="20" s="1"/>
  <c r="R229" i="20" s="1"/>
  <c r="V229" i="20"/>
  <c r="U229" i="20"/>
  <c r="S229" i="20"/>
  <c r="P229" i="20"/>
  <c r="Y229" i="20" s="1"/>
  <c r="M229" i="20"/>
  <c r="L229" i="20"/>
  <c r="K229" i="20"/>
  <c r="J229" i="20"/>
  <c r="I229" i="20"/>
  <c r="H229" i="20"/>
  <c r="G229" i="20"/>
  <c r="F229" i="20"/>
  <c r="E229" i="20"/>
  <c r="D229" i="20"/>
  <c r="AD228" i="20"/>
  <c r="AC228" i="20"/>
  <c r="AB228" i="20"/>
  <c r="AA228" i="20"/>
  <c r="Z228" i="20"/>
  <c r="X228" i="20"/>
  <c r="W228" i="20"/>
  <c r="V228" i="20"/>
  <c r="U228" i="20"/>
  <c r="T228" i="20" s="1"/>
  <c r="R228" i="20" s="1"/>
  <c r="S228" i="20"/>
  <c r="P228" i="20"/>
  <c r="Y228" i="20" s="1"/>
  <c r="M228" i="20"/>
  <c r="L228" i="20"/>
  <c r="K228" i="20"/>
  <c r="J228" i="20"/>
  <c r="I228" i="20"/>
  <c r="H228" i="20"/>
  <c r="G228" i="20"/>
  <c r="F228" i="20"/>
  <c r="E228" i="20"/>
  <c r="D228" i="20"/>
  <c r="AD227" i="20"/>
  <c r="AC227" i="20"/>
  <c r="AB227" i="20"/>
  <c r="AA227" i="20"/>
  <c r="Z227" i="20"/>
  <c r="X227" i="20"/>
  <c r="W227" i="20"/>
  <c r="V227" i="20"/>
  <c r="U227" i="20"/>
  <c r="T227" i="20" s="1"/>
  <c r="R227" i="20" s="1"/>
  <c r="S227" i="20"/>
  <c r="P227" i="20"/>
  <c r="Y227" i="20" s="1"/>
  <c r="M227" i="20"/>
  <c r="L227" i="20"/>
  <c r="K227" i="20"/>
  <c r="J227" i="20"/>
  <c r="I227" i="20"/>
  <c r="H227" i="20"/>
  <c r="G227" i="20"/>
  <c r="F227" i="20"/>
  <c r="E227" i="20"/>
  <c r="D227" i="20"/>
  <c r="AD226" i="20"/>
  <c r="AC226" i="20"/>
  <c r="AB226" i="20"/>
  <c r="AA226" i="20"/>
  <c r="Z226" i="20"/>
  <c r="X226" i="20"/>
  <c r="W226" i="20"/>
  <c r="V226" i="20"/>
  <c r="T226" i="20" s="1"/>
  <c r="R226" i="20" s="1"/>
  <c r="U226" i="20"/>
  <c r="S226" i="20"/>
  <c r="P226" i="20"/>
  <c r="Y226" i="20" s="1"/>
  <c r="M226" i="20"/>
  <c r="L226" i="20"/>
  <c r="K226" i="20"/>
  <c r="J226" i="20"/>
  <c r="I226" i="20"/>
  <c r="H226" i="20"/>
  <c r="G226" i="20"/>
  <c r="F226" i="20"/>
  <c r="E226" i="20"/>
  <c r="D226" i="20"/>
  <c r="AD225" i="20"/>
  <c r="AC225" i="20"/>
  <c r="AB225" i="20"/>
  <c r="AA225" i="20"/>
  <c r="Z225" i="20"/>
  <c r="X225" i="20"/>
  <c r="W225" i="20"/>
  <c r="V225" i="20"/>
  <c r="U225" i="20"/>
  <c r="T225" i="20" s="1"/>
  <c r="R225" i="20" s="1"/>
  <c r="S225" i="20"/>
  <c r="P225" i="20"/>
  <c r="Y225" i="20" s="1"/>
  <c r="M225" i="20"/>
  <c r="L225" i="20"/>
  <c r="K225" i="20"/>
  <c r="J225" i="20"/>
  <c r="I225" i="20"/>
  <c r="H225" i="20"/>
  <c r="G225" i="20"/>
  <c r="F225" i="20"/>
  <c r="E225" i="20"/>
  <c r="D225" i="20"/>
  <c r="AD224" i="20"/>
  <c r="AC224" i="20"/>
  <c r="AB224" i="20"/>
  <c r="AA224" i="20"/>
  <c r="Z224" i="20"/>
  <c r="X224" i="20"/>
  <c r="W224" i="20"/>
  <c r="V224" i="20"/>
  <c r="U224" i="20"/>
  <c r="S224" i="20"/>
  <c r="P224" i="20"/>
  <c r="Y224" i="20" s="1"/>
  <c r="M224" i="20"/>
  <c r="L224" i="20"/>
  <c r="K224" i="20"/>
  <c r="J224" i="20"/>
  <c r="I224" i="20"/>
  <c r="T224" i="20" s="1"/>
  <c r="R224" i="20" s="1"/>
  <c r="H224" i="20"/>
  <c r="G224" i="20"/>
  <c r="F224" i="20"/>
  <c r="E224" i="20"/>
  <c r="D224" i="20"/>
  <c r="AD223" i="20"/>
  <c r="AC223" i="20"/>
  <c r="AB223" i="20"/>
  <c r="T223" i="20" s="1"/>
  <c r="R223" i="20" s="1"/>
  <c r="AA223" i="20"/>
  <c r="Z223" i="20"/>
  <c r="X223" i="20"/>
  <c r="W223" i="20"/>
  <c r="V223" i="20"/>
  <c r="U223" i="20"/>
  <c r="S223" i="20"/>
  <c r="P223" i="20"/>
  <c r="Y223" i="20" s="1"/>
  <c r="M223" i="20"/>
  <c r="L223" i="20"/>
  <c r="K223" i="20"/>
  <c r="J223" i="20"/>
  <c r="I223" i="20"/>
  <c r="H223" i="20"/>
  <c r="G223" i="20"/>
  <c r="F223" i="20"/>
  <c r="E223" i="20"/>
  <c r="D223" i="20"/>
  <c r="AD222" i="20"/>
  <c r="AC222" i="20"/>
  <c r="AB222" i="20"/>
  <c r="AA222" i="20"/>
  <c r="Z222" i="20"/>
  <c r="X222" i="20"/>
  <c r="W222" i="20"/>
  <c r="V222" i="20"/>
  <c r="U222" i="20"/>
  <c r="T222" i="20" s="1"/>
  <c r="R222" i="20" s="1"/>
  <c r="S222" i="20"/>
  <c r="P222" i="20"/>
  <c r="Y222" i="20" s="1"/>
  <c r="M222" i="20"/>
  <c r="L222" i="20"/>
  <c r="K222" i="20"/>
  <c r="J222" i="20"/>
  <c r="I222" i="20"/>
  <c r="H222" i="20"/>
  <c r="G222" i="20"/>
  <c r="F222" i="20"/>
  <c r="E222" i="20"/>
  <c r="D222" i="20"/>
  <c r="AD221" i="20"/>
  <c r="AC221" i="20"/>
  <c r="AB221" i="20"/>
  <c r="AA221" i="20"/>
  <c r="Z221" i="20"/>
  <c r="X221" i="20"/>
  <c r="W221" i="20"/>
  <c r="T221" i="20" s="1"/>
  <c r="R221" i="20" s="1"/>
  <c r="V221" i="20"/>
  <c r="U221" i="20"/>
  <c r="S221" i="20"/>
  <c r="P221" i="20"/>
  <c r="Y221" i="20" s="1"/>
  <c r="M221" i="20"/>
  <c r="L221" i="20"/>
  <c r="K221" i="20"/>
  <c r="J221" i="20"/>
  <c r="I221" i="20"/>
  <c r="H221" i="20"/>
  <c r="G221" i="20"/>
  <c r="F221" i="20"/>
  <c r="E221" i="20"/>
  <c r="D221" i="20"/>
  <c r="AD220" i="20"/>
  <c r="AC220" i="20"/>
  <c r="AB220" i="20"/>
  <c r="AA220" i="20"/>
  <c r="Z220" i="20"/>
  <c r="X220" i="20"/>
  <c r="W220" i="20"/>
  <c r="V220" i="20"/>
  <c r="U220" i="20"/>
  <c r="T220" i="20" s="1"/>
  <c r="R220" i="20" s="1"/>
  <c r="S220" i="20"/>
  <c r="P220" i="20"/>
  <c r="Y220" i="20" s="1"/>
  <c r="M220" i="20"/>
  <c r="L220" i="20"/>
  <c r="K220" i="20"/>
  <c r="J220" i="20"/>
  <c r="I220" i="20"/>
  <c r="H220" i="20"/>
  <c r="G220" i="20"/>
  <c r="F220" i="20"/>
  <c r="E220" i="20"/>
  <c r="D220" i="20"/>
  <c r="AD219" i="20"/>
  <c r="AC219" i="20"/>
  <c r="AB219" i="20"/>
  <c r="AA219" i="20"/>
  <c r="Z219" i="20"/>
  <c r="X219" i="20"/>
  <c r="W219" i="20"/>
  <c r="V219" i="20"/>
  <c r="U219" i="20"/>
  <c r="T219" i="20" s="1"/>
  <c r="R219" i="20" s="1"/>
  <c r="S219" i="20"/>
  <c r="P219" i="20"/>
  <c r="Y219" i="20" s="1"/>
  <c r="M219" i="20"/>
  <c r="L219" i="20"/>
  <c r="K219" i="20"/>
  <c r="J219" i="20"/>
  <c r="I219" i="20"/>
  <c r="H219" i="20"/>
  <c r="G219" i="20"/>
  <c r="F219" i="20"/>
  <c r="E219" i="20"/>
  <c r="D219" i="20"/>
  <c r="AD218" i="20"/>
  <c r="AC218" i="20"/>
  <c r="AB218" i="20"/>
  <c r="AA218" i="20"/>
  <c r="Z218" i="20"/>
  <c r="X218" i="20"/>
  <c r="W218" i="20"/>
  <c r="V218" i="20"/>
  <c r="T218" i="20" s="1"/>
  <c r="R218" i="20" s="1"/>
  <c r="U218" i="20"/>
  <c r="S218" i="20"/>
  <c r="P218" i="20"/>
  <c r="Y218" i="20" s="1"/>
  <c r="M218" i="20"/>
  <c r="L218" i="20"/>
  <c r="K218" i="20"/>
  <c r="J218" i="20"/>
  <c r="I218" i="20"/>
  <c r="H218" i="20"/>
  <c r="G218" i="20"/>
  <c r="F218" i="20"/>
  <c r="E218" i="20"/>
  <c r="D218" i="20"/>
  <c r="AD217" i="20"/>
  <c r="AC217" i="20"/>
  <c r="AB217" i="20"/>
  <c r="AA217" i="20"/>
  <c r="Z217" i="20"/>
  <c r="X217" i="20"/>
  <c r="W217" i="20"/>
  <c r="V217" i="20"/>
  <c r="U217" i="20"/>
  <c r="T217" i="20" s="1"/>
  <c r="R217" i="20" s="1"/>
  <c r="S217" i="20"/>
  <c r="P217" i="20"/>
  <c r="Y217" i="20" s="1"/>
  <c r="M217" i="20"/>
  <c r="L217" i="20"/>
  <c r="K217" i="20"/>
  <c r="J217" i="20"/>
  <c r="I217" i="20"/>
  <c r="H217" i="20"/>
  <c r="G217" i="20"/>
  <c r="F217" i="20"/>
  <c r="E217" i="20"/>
  <c r="D217" i="20"/>
  <c r="AD216" i="20"/>
  <c r="AC216" i="20"/>
  <c r="AB216" i="20"/>
  <c r="AA216" i="20"/>
  <c r="Z216" i="20"/>
  <c r="X216" i="20"/>
  <c r="W216" i="20"/>
  <c r="V216" i="20"/>
  <c r="U216" i="20"/>
  <c r="S216" i="20"/>
  <c r="P216" i="20"/>
  <c r="Y216" i="20" s="1"/>
  <c r="M216" i="20"/>
  <c r="L216" i="20"/>
  <c r="K216" i="20"/>
  <c r="J216" i="20"/>
  <c r="I216" i="20"/>
  <c r="T216" i="20" s="1"/>
  <c r="R216" i="20" s="1"/>
  <c r="H216" i="20"/>
  <c r="G216" i="20"/>
  <c r="F216" i="20"/>
  <c r="E216" i="20"/>
  <c r="D216" i="20"/>
  <c r="AD215" i="20"/>
  <c r="AC215" i="20"/>
  <c r="AB215" i="20"/>
  <c r="T215" i="20" s="1"/>
  <c r="R215" i="20" s="1"/>
  <c r="AA215" i="20"/>
  <c r="Z215" i="20"/>
  <c r="X215" i="20"/>
  <c r="W215" i="20"/>
  <c r="V215" i="20"/>
  <c r="U215" i="20"/>
  <c r="S215" i="20"/>
  <c r="P215" i="20"/>
  <c r="Y215" i="20" s="1"/>
  <c r="M215" i="20"/>
  <c r="L215" i="20"/>
  <c r="K215" i="20"/>
  <c r="J215" i="20"/>
  <c r="I215" i="20"/>
  <c r="H215" i="20"/>
  <c r="G215" i="20"/>
  <c r="F215" i="20"/>
  <c r="E215" i="20"/>
  <c r="D215" i="20"/>
  <c r="AD214" i="20"/>
  <c r="AC214" i="20"/>
  <c r="AB214" i="20"/>
  <c r="AA214" i="20"/>
  <c r="Z214" i="20"/>
  <c r="X214" i="20"/>
  <c r="W214" i="20"/>
  <c r="V214" i="20"/>
  <c r="U214" i="20"/>
  <c r="T214" i="20" s="1"/>
  <c r="R214" i="20" s="1"/>
  <c r="S214" i="20"/>
  <c r="P214" i="20"/>
  <c r="Y214" i="20" s="1"/>
  <c r="M214" i="20"/>
  <c r="L214" i="20"/>
  <c r="K214" i="20"/>
  <c r="J214" i="20"/>
  <c r="I214" i="20"/>
  <c r="H214" i="20"/>
  <c r="G214" i="20"/>
  <c r="F214" i="20"/>
  <c r="E214" i="20"/>
  <c r="D214" i="20"/>
  <c r="AD213" i="20"/>
  <c r="AC213" i="20"/>
  <c r="AB213" i="20"/>
  <c r="AA213" i="20"/>
  <c r="Z213" i="20"/>
  <c r="X213" i="20"/>
  <c r="W213" i="20"/>
  <c r="T213" i="20" s="1"/>
  <c r="R213" i="20" s="1"/>
  <c r="V213" i="20"/>
  <c r="U213" i="20"/>
  <c r="S213" i="20"/>
  <c r="P213" i="20"/>
  <c r="Y213" i="20" s="1"/>
  <c r="M213" i="20"/>
  <c r="L213" i="20"/>
  <c r="K213" i="20"/>
  <c r="J213" i="20"/>
  <c r="I213" i="20"/>
  <c r="H213" i="20"/>
  <c r="G213" i="20"/>
  <c r="F213" i="20"/>
  <c r="E213" i="20"/>
  <c r="D213" i="20"/>
  <c r="AD212" i="20"/>
  <c r="AC212" i="20"/>
  <c r="AB212" i="20"/>
  <c r="AA212" i="20"/>
  <c r="Z212" i="20"/>
  <c r="X212" i="20"/>
  <c r="W212" i="20"/>
  <c r="V212" i="20"/>
  <c r="U212" i="20"/>
  <c r="T212" i="20" s="1"/>
  <c r="R212" i="20" s="1"/>
  <c r="S212" i="20"/>
  <c r="P212" i="20"/>
  <c r="Y212" i="20" s="1"/>
  <c r="M212" i="20"/>
  <c r="L212" i="20"/>
  <c r="K212" i="20"/>
  <c r="J212" i="20"/>
  <c r="I212" i="20"/>
  <c r="H212" i="20"/>
  <c r="G212" i="20"/>
  <c r="F212" i="20"/>
  <c r="E212" i="20"/>
  <c r="D212" i="20"/>
  <c r="AD211" i="20"/>
  <c r="AC211" i="20"/>
  <c r="AB211" i="20"/>
  <c r="AA211" i="20"/>
  <c r="Z211" i="20"/>
  <c r="X211" i="20"/>
  <c r="W211" i="20"/>
  <c r="V211" i="20"/>
  <c r="U211" i="20"/>
  <c r="T211" i="20" s="1"/>
  <c r="R211" i="20" s="1"/>
  <c r="S211" i="20"/>
  <c r="P211" i="20"/>
  <c r="Y211" i="20" s="1"/>
  <c r="M211" i="20"/>
  <c r="L211" i="20"/>
  <c r="K211" i="20"/>
  <c r="J211" i="20"/>
  <c r="I211" i="20"/>
  <c r="H211" i="20"/>
  <c r="G211" i="20"/>
  <c r="F211" i="20"/>
  <c r="E211" i="20"/>
  <c r="D211" i="20"/>
  <c r="AD210" i="20"/>
  <c r="AC210" i="20"/>
  <c r="AB210" i="20"/>
  <c r="AA210" i="20"/>
  <c r="Z210" i="20"/>
  <c r="X210" i="20"/>
  <c r="W210" i="20"/>
  <c r="V210" i="20"/>
  <c r="T210" i="20" s="1"/>
  <c r="R210" i="20" s="1"/>
  <c r="U210" i="20"/>
  <c r="S210" i="20"/>
  <c r="P210" i="20"/>
  <c r="Y210" i="20" s="1"/>
  <c r="M210" i="20"/>
  <c r="L210" i="20"/>
  <c r="K210" i="20"/>
  <c r="J210" i="20"/>
  <c r="I210" i="20"/>
  <c r="H210" i="20"/>
  <c r="G210" i="20"/>
  <c r="F210" i="20"/>
  <c r="E210" i="20"/>
  <c r="D210" i="20"/>
  <c r="AD209" i="20"/>
  <c r="AC209" i="20"/>
  <c r="AB209" i="20"/>
  <c r="AA209" i="20"/>
  <c r="Z209" i="20"/>
  <c r="X209" i="20"/>
  <c r="W209" i="20"/>
  <c r="V209" i="20"/>
  <c r="U209" i="20"/>
  <c r="T209" i="20" s="1"/>
  <c r="R209" i="20" s="1"/>
  <c r="S209" i="20"/>
  <c r="P209" i="20"/>
  <c r="Y209" i="20" s="1"/>
  <c r="M209" i="20"/>
  <c r="L209" i="20"/>
  <c r="K209" i="20"/>
  <c r="J209" i="20"/>
  <c r="I209" i="20"/>
  <c r="H209" i="20"/>
  <c r="G209" i="20"/>
  <c r="F209" i="20"/>
  <c r="E209" i="20"/>
  <c r="D209" i="20"/>
  <c r="AD208" i="20"/>
  <c r="AC208" i="20"/>
  <c r="AB208" i="20"/>
  <c r="AA208" i="20"/>
  <c r="Z208" i="20"/>
  <c r="X208" i="20"/>
  <c r="W208" i="20"/>
  <c r="V208" i="20"/>
  <c r="U208" i="20"/>
  <c r="S208" i="20"/>
  <c r="P208" i="20"/>
  <c r="Y208" i="20" s="1"/>
  <c r="M208" i="20"/>
  <c r="L208" i="20"/>
  <c r="K208" i="20"/>
  <c r="J208" i="20"/>
  <c r="I208" i="20"/>
  <c r="T208" i="20" s="1"/>
  <c r="R208" i="20" s="1"/>
  <c r="H208" i="20"/>
  <c r="G208" i="20"/>
  <c r="F208" i="20"/>
  <c r="E208" i="20"/>
  <c r="D208" i="20"/>
  <c r="AD207" i="20"/>
  <c r="AC207" i="20"/>
  <c r="AB207" i="20"/>
  <c r="T207" i="20" s="1"/>
  <c r="R207" i="20" s="1"/>
  <c r="AA207" i="20"/>
  <c r="Z207" i="20"/>
  <c r="X207" i="20"/>
  <c r="W207" i="20"/>
  <c r="V207" i="20"/>
  <c r="U207" i="20"/>
  <c r="S207" i="20"/>
  <c r="P207" i="20"/>
  <c r="Y207" i="20" s="1"/>
  <c r="M207" i="20"/>
  <c r="L207" i="20"/>
  <c r="K207" i="20"/>
  <c r="J207" i="20"/>
  <c r="I207" i="20"/>
  <c r="H207" i="20"/>
  <c r="G207" i="20"/>
  <c r="F207" i="20"/>
  <c r="E207" i="20"/>
  <c r="D207" i="20"/>
  <c r="AD206" i="20"/>
  <c r="AC206" i="20"/>
  <c r="AB206" i="20"/>
  <c r="AA206" i="20"/>
  <c r="Z206" i="20"/>
  <c r="X206" i="20"/>
  <c r="W206" i="20"/>
  <c r="V206" i="20"/>
  <c r="U206" i="20"/>
  <c r="T206" i="20" s="1"/>
  <c r="R206" i="20" s="1"/>
  <c r="S206" i="20"/>
  <c r="P206" i="20"/>
  <c r="Y206" i="20" s="1"/>
  <c r="M206" i="20"/>
  <c r="L206" i="20"/>
  <c r="K206" i="20"/>
  <c r="J206" i="20"/>
  <c r="I206" i="20"/>
  <c r="H206" i="20"/>
  <c r="G206" i="20"/>
  <c r="F206" i="20"/>
  <c r="E206" i="20"/>
  <c r="D206" i="20"/>
  <c r="AD205" i="20"/>
  <c r="AC205" i="20"/>
  <c r="AB205" i="20"/>
  <c r="AA205" i="20"/>
  <c r="Z205" i="20"/>
  <c r="X205" i="20"/>
  <c r="W205" i="20"/>
  <c r="T205" i="20" s="1"/>
  <c r="R205" i="20" s="1"/>
  <c r="V205" i="20"/>
  <c r="U205" i="20"/>
  <c r="S205" i="20"/>
  <c r="P205" i="20"/>
  <c r="Y205" i="20" s="1"/>
  <c r="M205" i="20"/>
  <c r="L205" i="20"/>
  <c r="K205" i="20"/>
  <c r="J205" i="20"/>
  <c r="I205" i="20"/>
  <c r="H205" i="20"/>
  <c r="G205" i="20"/>
  <c r="F205" i="20"/>
  <c r="E205" i="20"/>
  <c r="D205" i="20"/>
  <c r="AD204" i="20"/>
  <c r="AC204" i="20"/>
  <c r="AB204" i="20"/>
  <c r="AA204" i="20"/>
  <c r="Z204" i="20"/>
  <c r="X204" i="20"/>
  <c r="W204" i="20"/>
  <c r="V204" i="20"/>
  <c r="U204" i="20"/>
  <c r="T204" i="20" s="1"/>
  <c r="R204" i="20" s="1"/>
  <c r="S204" i="20"/>
  <c r="P204" i="20"/>
  <c r="Y204" i="20" s="1"/>
  <c r="M204" i="20"/>
  <c r="L204" i="20"/>
  <c r="K204" i="20"/>
  <c r="J204" i="20"/>
  <c r="I204" i="20"/>
  <c r="H204" i="20"/>
  <c r="G204" i="20"/>
  <c r="F204" i="20"/>
  <c r="E204" i="20"/>
  <c r="D204" i="20"/>
  <c r="AD203" i="20"/>
  <c r="AC203" i="20"/>
  <c r="AB203" i="20"/>
  <c r="AA203" i="20"/>
  <c r="Z203" i="20"/>
  <c r="X203" i="20"/>
  <c r="W203" i="20"/>
  <c r="V203" i="20"/>
  <c r="U203" i="20"/>
  <c r="T203" i="20" s="1"/>
  <c r="R203" i="20" s="1"/>
  <c r="S203" i="20"/>
  <c r="P203" i="20"/>
  <c r="Y203" i="20" s="1"/>
  <c r="M203" i="20"/>
  <c r="L203" i="20"/>
  <c r="K203" i="20"/>
  <c r="J203" i="20"/>
  <c r="I203" i="20"/>
  <c r="H203" i="20"/>
  <c r="G203" i="20"/>
  <c r="F203" i="20"/>
  <c r="E203" i="20"/>
  <c r="D203" i="20"/>
  <c r="AD202" i="20"/>
  <c r="AC202" i="20"/>
  <c r="AB202" i="20"/>
  <c r="AA202" i="20"/>
  <c r="Z202" i="20"/>
  <c r="X202" i="20"/>
  <c r="W202" i="20"/>
  <c r="V202" i="20"/>
  <c r="T202" i="20" s="1"/>
  <c r="R202" i="20" s="1"/>
  <c r="U202" i="20"/>
  <c r="S202" i="20"/>
  <c r="P202" i="20"/>
  <c r="Y202" i="20" s="1"/>
  <c r="M202" i="20"/>
  <c r="L202" i="20"/>
  <c r="K202" i="20"/>
  <c r="J202" i="20"/>
  <c r="I202" i="20"/>
  <c r="H202" i="20"/>
  <c r="G202" i="20"/>
  <c r="F202" i="20"/>
  <c r="E202" i="20"/>
  <c r="D202" i="20"/>
  <c r="AD201" i="20"/>
  <c r="AC201" i="20"/>
  <c r="AB201" i="20"/>
  <c r="AA201" i="20"/>
  <c r="Z201" i="20"/>
  <c r="X201" i="20"/>
  <c r="W201" i="20"/>
  <c r="V201" i="20"/>
  <c r="U201" i="20"/>
  <c r="T201" i="20" s="1"/>
  <c r="R201" i="20" s="1"/>
  <c r="S201" i="20"/>
  <c r="P201" i="20"/>
  <c r="Y201" i="20" s="1"/>
  <c r="M201" i="20"/>
  <c r="L201" i="20"/>
  <c r="K201" i="20"/>
  <c r="J201" i="20"/>
  <c r="I201" i="20"/>
  <c r="H201" i="20"/>
  <c r="G201" i="20"/>
  <c r="F201" i="20"/>
  <c r="E201" i="20"/>
  <c r="D201" i="20"/>
  <c r="AD200" i="20"/>
  <c r="AC200" i="20"/>
  <c r="AB200" i="20"/>
  <c r="AA200" i="20"/>
  <c r="Z200" i="20"/>
  <c r="X200" i="20"/>
  <c r="W200" i="20"/>
  <c r="V200" i="20"/>
  <c r="U200" i="20"/>
  <c r="S200" i="20"/>
  <c r="P200" i="20"/>
  <c r="Y200" i="20" s="1"/>
  <c r="M200" i="20"/>
  <c r="L200" i="20"/>
  <c r="K200" i="20"/>
  <c r="J200" i="20"/>
  <c r="I200" i="20"/>
  <c r="T200" i="20" s="1"/>
  <c r="R200" i="20" s="1"/>
  <c r="H200" i="20"/>
  <c r="G200" i="20"/>
  <c r="F200" i="20"/>
  <c r="E200" i="20"/>
  <c r="D200" i="20"/>
  <c r="AD199" i="20"/>
  <c r="AC199" i="20"/>
  <c r="AB199" i="20"/>
  <c r="T199" i="20" s="1"/>
  <c r="R199" i="20" s="1"/>
  <c r="AA199" i="20"/>
  <c r="Z199" i="20"/>
  <c r="X199" i="20"/>
  <c r="W199" i="20"/>
  <c r="V199" i="20"/>
  <c r="U199" i="20"/>
  <c r="S199" i="20"/>
  <c r="P199" i="20"/>
  <c r="Y199" i="20" s="1"/>
  <c r="M199" i="20"/>
  <c r="L199" i="20"/>
  <c r="K199" i="20"/>
  <c r="J199" i="20"/>
  <c r="I199" i="20"/>
  <c r="H199" i="20"/>
  <c r="G199" i="20"/>
  <c r="F199" i="20"/>
  <c r="E199" i="20"/>
  <c r="D199" i="20"/>
  <c r="AD198" i="20"/>
  <c r="AC198" i="20"/>
  <c r="AB198" i="20"/>
  <c r="AA198" i="20"/>
  <c r="Z198" i="20"/>
  <c r="X198" i="20"/>
  <c r="W198" i="20"/>
  <c r="V198" i="20"/>
  <c r="U198" i="20"/>
  <c r="T198" i="20" s="1"/>
  <c r="R198" i="20" s="1"/>
  <c r="S198" i="20"/>
  <c r="P198" i="20"/>
  <c r="Y198" i="20" s="1"/>
  <c r="M198" i="20"/>
  <c r="L198" i="20"/>
  <c r="K198" i="20"/>
  <c r="J198" i="20"/>
  <c r="I198" i="20"/>
  <c r="H198" i="20"/>
  <c r="G198" i="20"/>
  <c r="F198" i="20"/>
  <c r="E198" i="20"/>
  <c r="D198" i="20"/>
  <c r="AD197" i="20"/>
  <c r="AC197" i="20"/>
  <c r="AB197" i="20"/>
  <c r="AA197" i="20"/>
  <c r="Z197" i="20"/>
  <c r="X197" i="20"/>
  <c r="W197" i="20"/>
  <c r="T197" i="20" s="1"/>
  <c r="R197" i="20" s="1"/>
  <c r="V197" i="20"/>
  <c r="U197" i="20"/>
  <c r="S197" i="20"/>
  <c r="P197" i="20"/>
  <c r="Y197" i="20" s="1"/>
  <c r="M197" i="20"/>
  <c r="L197" i="20"/>
  <c r="K197" i="20"/>
  <c r="J197" i="20"/>
  <c r="I197" i="20"/>
  <c r="H197" i="20"/>
  <c r="G197" i="20"/>
  <c r="F197" i="20"/>
  <c r="E197" i="20"/>
  <c r="D197" i="20"/>
  <c r="AD196" i="20"/>
  <c r="AC196" i="20"/>
  <c r="AB196" i="20"/>
  <c r="AA196" i="20"/>
  <c r="Z196" i="20"/>
  <c r="X196" i="20"/>
  <c r="W196" i="20"/>
  <c r="V196" i="20"/>
  <c r="U196" i="20"/>
  <c r="T196" i="20" s="1"/>
  <c r="R196" i="20" s="1"/>
  <c r="S196" i="20"/>
  <c r="P196" i="20"/>
  <c r="Y196" i="20" s="1"/>
  <c r="M196" i="20"/>
  <c r="L196" i="20"/>
  <c r="K196" i="20"/>
  <c r="J196" i="20"/>
  <c r="I196" i="20"/>
  <c r="H196" i="20"/>
  <c r="G196" i="20"/>
  <c r="F196" i="20"/>
  <c r="E196" i="20"/>
  <c r="D196" i="20"/>
  <c r="AD195" i="20"/>
  <c r="AC195" i="20"/>
  <c r="AB195" i="20"/>
  <c r="AA195" i="20"/>
  <c r="Z195" i="20"/>
  <c r="X195" i="20"/>
  <c r="W195" i="20"/>
  <c r="V195" i="20"/>
  <c r="U195" i="20"/>
  <c r="T195" i="20" s="1"/>
  <c r="R195" i="20" s="1"/>
  <c r="S195" i="20"/>
  <c r="P195" i="20"/>
  <c r="Y195" i="20" s="1"/>
  <c r="M195" i="20"/>
  <c r="L195" i="20"/>
  <c r="K195" i="20"/>
  <c r="J195" i="20"/>
  <c r="I195" i="20"/>
  <c r="H195" i="20"/>
  <c r="G195" i="20"/>
  <c r="F195" i="20"/>
  <c r="E195" i="20"/>
  <c r="D195" i="20"/>
  <c r="AD194" i="20"/>
  <c r="AC194" i="20"/>
  <c r="AB194" i="20"/>
  <c r="AA194" i="20"/>
  <c r="Z194" i="20"/>
  <c r="X194" i="20"/>
  <c r="W194" i="20"/>
  <c r="V194" i="20"/>
  <c r="T194" i="20" s="1"/>
  <c r="R194" i="20" s="1"/>
  <c r="U194" i="20"/>
  <c r="S194" i="20"/>
  <c r="P194" i="20"/>
  <c r="Y194" i="20" s="1"/>
  <c r="M194" i="20"/>
  <c r="L194" i="20"/>
  <c r="K194" i="20"/>
  <c r="J194" i="20"/>
  <c r="I194" i="20"/>
  <c r="H194" i="20"/>
  <c r="G194" i="20"/>
  <c r="F194" i="20"/>
  <c r="E194" i="20"/>
  <c r="D194" i="20"/>
  <c r="AD193" i="20"/>
  <c r="AC193" i="20"/>
  <c r="AB193" i="20"/>
  <c r="AA193" i="20"/>
  <c r="Z193" i="20"/>
  <c r="X193" i="20"/>
  <c r="W193" i="20"/>
  <c r="V193" i="20"/>
  <c r="U193" i="20"/>
  <c r="T193" i="20" s="1"/>
  <c r="R193" i="20" s="1"/>
  <c r="S193" i="20"/>
  <c r="P193" i="20"/>
  <c r="Y193" i="20" s="1"/>
  <c r="M193" i="20"/>
  <c r="L193" i="20"/>
  <c r="K193" i="20"/>
  <c r="J193" i="20"/>
  <c r="I193" i="20"/>
  <c r="H193" i="20"/>
  <c r="G193" i="20"/>
  <c r="F193" i="20"/>
  <c r="E193" i="20"/>
  <c r="D193" i="20"/>
  <c r="AD192" i="20"/>
  <c r="AC192" i="20"/>
  <c r="AB192" i="20"/>
  <c r="AA192" i="20"/>
  <c r="Z192" i="20"/>
  <c r="X192" i="20"/>
  <c r="W192" i="20"/>
  <c r="V192" i="20"/>
  <c r="U192" i="20"/>
  <c r="S192" i="20"/>
  <c r="P192" i="20"/>
  <c r="Y192" i="20" s="1"/>
  <c r="M192" i="20"/>
  <c r="L192" i="20"/>
  <c r="K192" i="20"/>
  <c r="J192" i="20"/>
  <c r="I192" i="20"/>
  <c r="T192" i="20" s="1"/>
  <c r="R192" i="20" s="1"/>
  <c r="H192" i="20"/>
  <c r="G192" i="20"/>
  <c r="F192" i="20"/>
  <c r="E192" i="20"/>
  <c r="D192" i="20"/>
  <c r="AD191" i="20"/>
  <c r="AC191" i="20"/>
  <c r="AB191" i="20"/>
  <c r="T191" i="20" s="1"/>
  <c r="R191" i="20" s="1"/>
  <c r="AA191" i="20"/>
  <c r="Z191" i="20"/>
  <c r="X191" i="20"/>
  <c r="W191" i="20"/>
  <c r="V191" i="20"/>
  <c r="U191" i="20"/>
  <c r="S191" i="20"/>
  <c r="P191" i="20"/>
  <c r="Y191" i="20" s="1"/>
  <c r="M191" i="20"/>
  <c r="L191" i="20"/>
  <c r="K191" i="20"/>
  <c r="J191" i="20"/>
  <c r="I191" i="20"/>
  <c r="H191" i="20"/>
  <c r="G191" i="20"/>
  <c r="F191" i="20"/>
  <c r="E191" i="20"/>
  <c r="D191" i="20"/>
  <c r="AD190" i="20"/>
  <c r="AC190" i="20"/>
  <c r="AB190" i="20"/>
  <c r="AA190" i="20"/>
  <c r="Z190" i="20"/>
  <c r="X190" i="20"/>
  <c r="W190" i="20"/>
  <c r="V190" i="20"/>
  <c r="U190" i="20"/>
  <c r="T190" i="20" s="1"/>
  <c r="R190" i="20" s="1"/>
  <c r="S190" i="20"/>
  <c r="P190" i="20"/>
  <c r="Y190" i="20" s="1"/>
  <c r="M190" i="20"/>
  <c r="L190" i="20"/>
  <c r="K190" i="20"/>
  <c r="J190" i="20"/>
  <c r="I190" i="20"/>
  <c r="H190" i="20"/>
  <c r="G190" i="20"/>
  <c r="F190" i="20"/>
  <c r="E190" i="20"/>
  <c r="D190" i="20"/>
  <c r="AD189" i="20"/>
  <c r="AC189" i="20"/>
  <c r="AB189" i="20"/>
  <c r="AA189" i="20"/>
  <c r="Z189" i="20"/>
  <c r="X189" i="20"/>
  <c r="W189" i="20"/>
  <c r="T189" i="20" s="1"/>
  <c r="R189" i="20" s="1"/>
  <c r="V189" i="20"/>
  <c r="U189" i="20"/>
  <c r="S189" i="20"/>
  <c r="P189" i="20"/>
  <c r="Y189" i="20" s="1"/>
  <c r="M189" i="20"/>
  <c r="L189" i="20"/>
  <c r="K189" i="20"/>
  <c r="J189" i="20"/>
  <c r="I189" i="20"/>
  <c r="H189" i="20"/>
  <c r="G189" i="20"/>
  <c r="F189" i="20"/>
  <c r="E189" i="20"/>
  <c r="D189" i="20"/>
  <c r="AD188" i="20"/>
  <c r="AC188" i="20"/>
  <c r="AB188" i="20"/>
  <c r="AA188" i="20"/>
  <c r="Z188" i="20"/>
  <c r="X188" i="20"/>
  <c r="W188" i="20"/>
  <c r="V188" i="20"/>
  <c r="U188" i="20"/>
  <c r="T188" i="20" s="1"/>
  <c r="R188" i="20" s="1"/>
  <c r="S188" i="20"/>
  <c r="P188" i="20"/>
  <c r="Y188" i="20" s="1"/>
  <c r="M188" i="20"/>
  <c r="L188" i="20"/>
  <c r="K188" i="20"/>
  <c r="J188" i="20"/>
  <c r="I188" i="20"/>
  <c r="H188" i="20"/>
  <c r="G188" i="20"/>
  <c r="F188" i="20"/>
  <c r="E188" i="20"/>
  <c r="D188" i="20"/>
  <c r="AD187" i="20"/>
  <c r="AC187" i="20"/>
  <c r="AB187" i="20"/>
  <c r="AA187" i="20"/>
  <c r="Z187" i="20"/>
  <c r="X187" i="20"/>
  <c r="W187" i="20"/>
  <c r="V187" i="20"/>
  <c r="U187" i="20"/>
  <c r="T187" i="20" s="1"/>
  <c r="R187" i="20" s="1"/>
  <c r="S187" i="20"/>
  <c r="P187" i="20"/>
  <c r="Y187" i="20" s="1"/>
  <c r="M187" i="20"/>
  <c r="L187" i="20"/>
  <c r="K187" i="20"/>
  <c r="J187" i="20"/>
  <c r="I187" i="20"/>
  <c r="H187" i="20"/>
  <c r="G187" i="20"/>
  <c r="F187" i="20"/>
  <c r="E187" i="20"/>
  <c r="D187" i="20"/>
  <c r="AD186" i="20"/>
  <c r="AC186" i="20"/>
  <c r="AB186" i="20"/>
  <c r="AA186" i="20"/>
  <c r="Z186" i="20"/>
  <c r="X186" i="20"/>
  <c r="W186" i="20"/>
  <c r="V186" i="20"/>
  <c r="T186" i="20" s="1"/>
  <c r="R186" i="20" s="1"/>
  <c r="U186" i="20"/>
  <c r="S186" i="20"/>
  <c r="P186" i="20"/>
  <c r="Y186" i="20" s="1"/>
  <c r="M186" i="20"/>
  <c r="L186" i="20"/>
  <c r="K186" i="20"/>
  <c r="J186" i="20"/>
  <c r="I186" i="20"/>
  <c r="H186" i="20"/>
  <c r="G186" i="20"/>
  <c r="F186" i="20"/>
  <c r="E186" i="20"/>
  <c r="D186" i="20"/>
  <c r="AD185" i="20"/>
  <c r="AC185" i="20"/>
  <c r="AB185" i="20"/>
  <c r="AA185" i="20"/>
  <c r="Z185" i="20"/>
  <c r="X185" i="20"/>
  <c r="W185" i="20"/>
  <c r="V185" i="20"/>
  <c r="U185" i="20"/>
  <c r="T185" i="20" s="1"/>
  <c r="R185" i="20" s="1"/>
  <c r="S185" i="20"/>
  <c r="P185" i="20"/>
  <c r="Y185" i="20" s="1"/>
  <c r="M185" i="20"/>
  <c r="L185" i="20"/>
  <c r="K185" i="20"/>
  <c r="J185" i="20"/>
  <c r="I185" i="20"/>
  <c r="H185" i="20"/>
  <c r="G185" i="20"/>
  <c r="F185" i="20"/>
  <c r="E185" i="20"/>
  <c r="D185" i="20"/>
  <c r="AD184" i="20"/>
  <c r="AC184" i="20"/>
  <c r="AB184" i="20"/>
  <c r="AA184" i="20"/>
  <c r="Z184" i="20"/>
  <c r="X184" i="20"/>
  <c r="W184" i="20"/>
  <c r="V184" i="20"/>
  <c r="U184" i="20"/>
  <c r="S184" i="20"/>
  <c r="P184" i="20"/>
  <c r="Y184" i="20" s="1"/>
  <c r="M184" i="20"/>
  <c r="L184" i="20"/>
  <c r="K184" i="20"/>
  <c r="J184" i="20"/>
  <c r="I184" i="20"/>
  <c r="T184" i="20" s="1"/>
  <c r="R184" i="20" s="1"/>
  <c r="H184" i="20"/>
  <c r="G184" i="20"/>
  <c r="F184" i="20"/>
  <c r="E184" i="20"/>
  <c r="D184" i="20"/>
  <c r="AD183" i="20"/>
  <c r="AC183" i="20"/>
  <c r="AB183" i="20"/>
  <c r="T183" i="20" s="1"/>
  <c r="R183" i="20" s="1"/>
  <c r="AA183" i="20"/>
  <c r="Z183" i="20"/>
  <c r="X183" i="20"/>
  <c r="W183" i="20"/>
  <c r="V183" i="20"/>
  <c r="U183" i="20"/>
  <c r="S183" i="20"/>
  <c r="P183" i="20"/>
  <c r="Y183" i="20" s="1"/>
  <c r="M183" i="20"/>
  <c r="L183" i="20"/>
  <c r="K183" i="20"/>
  <c r="J183" i="20"/>
  <c r="I183" i="20"/>
  <c r="H183" i="20"/>
  <c r="G183" i="20"/>
  <c r="F183" i="20"/>
  <c r="E183" i="20"/>
  <c r="D183" i="20"/>
  <c r="AD182" i="20"/>
  <c r="AC182" i="20"/>
  <c r="AB182" i="20"/>
  <c r="AA182" i="20"/>
  <c r="Z182" i="20"/>
  <c r="X182" i="20"/>
  <c r="W182" i="20"/>
  <c r="V182" i="20"/>
  <c r="U182" i="20"/>
  <c r="T182" i="20" s="1"/>
  <c r="R182" i="20" s="1"/>
  <c r="S182" i="20"/>
  <c r="P182" i="20"/>
  <c r="Y182" i="20" s="1"/>
  <c r="M182" i="20"/>
  <c r="L182" i="20"/>
  <c r="K182" i="20"/>
  <c r="J182" i="20"/>
  <c r="I182" i="20"/>
  <c r="H182" i="20"/>
  <c r="G182" i="20"/>
  <c r="F182" i="20"/>
  <c r="E182" i="20"/>
  <c r="D182" i="20"/>
  <c r="AD181" i="20"/>
  <c r="AC181" i="20"/>
  <c r="AB181" i="20"/>
  <c r="AA181" i="20"/>
  <c r="Z181" i="20"/>
  <c r="X181" i="20"/>
  <c r="W181" i="20"/>
  <c r="T181" i="20" s="1"/>
  <c r="R181" i="20" s="1"/>
  <c r="V181" i="20"/>
  <c r="U181" i="20"/>
  <c r="S181" i="20"/>
  <c r="P181" i="20"/>
  <c r="Y181" i="20" s="1"/>
  <c r="M181" i="20"/>
  <c r="L181" i="20"/>
  <c r="K181" i="20"/>
  <c r="J181" i="20"/>
  <c r="I181" i="20"/>
  <c r="H181" i="20"/>
  <c r="G181" i="20"/>
  <c r="F181" i="20"/>
  <c r="E181" i="20"/>
  <c r="D181" i="20"/>
  <c r="AD180" i="20"/>
  <c r="AC180" i="20"/>
  <c r="AB180" i="20"/>
  <c r="AA180" i="20"/>
  <c r="Z180" i="20"/>
  <c r="X180" i="20"/>
  <c r="W180" i="20"/>
  <c r="V180" i="20"/>
  <c r="U180" i="20"/>
  <c r="T180" i="20" s="1"/>
  <c r="R180" i="20" s="1"/>
  <c r="S180" i="20"/>
  <c r="P180" i="20"/>
  <c r="Y180" i="20" s="1"/>
  <c r="M180" i="20"/>
  <c r="L180" i="20"/>
  <c r="K180" i="20"/>
  <c r="J180" i="20"/>
  <c r="I180" i="20"/>
  <c r="H180" i="20"/>
  <c r="G180" i="20"/>
  <c r="F180" i="20"/>
  <c r="E180" i="20"/>
  <c r="D180" i="20"/>
  <c r="AD179" i="20"/>
  <c r="AC179" i="20"/>
  <c r="AB179" i="20"/>
  <c r="AA179" i="20"/>
  <c r="Z179" i="20"/>
  <c r="X179" i="20"/>
  <c r="W179" i="20"/>
  <c r="V179" i="20"/>
  <c r="U179" i="20"/>
  <c r="T179" i="20" s="1"/>
  <c r="R179" i="20" s="1"/>
  <c r="S179" i="20"/>
  <c r="P179" i="20"/>
  <c r="Y179" i="20" s="1"/>
  <c r="M179" i="20"/>
  <c r="L179" i="20"/>
  <c r="K179" i="20"/>
  <c r="J179" i="20"/>
  <c r="I179" i="20"/>
  <c r="H179" i="20"/>
  <c r="G179" i="20"/>
  <c r="F179" i="20"/>
  <c r="E179" i="20"/>
  <c r="D179" i="20"/>
  <c r="AD178" i="20"/>
  <c r="AC178" i="20"/>
  <c r="AB178" i="20"/>
  <c r="AA178" i="20"/>
  <c r="Z178" i="20"/>
  <c r="X178" i="20"/>
  <c r="W178" i="20"/>
  <c r="V178" i="20"/>
  <c r="T178" i="20" s="1"/>
  <c r="R178" i="20" s="1"/>
  <c r="U178" i="20"/>
  <c r="S178" i="20"/>
  <c r="P178" i="20"/>
  <c r="Y178" i="20" s="1"/>
  <c r="M178" i="20"/>
  <c r="L178" i="20"/>
  <c r="K178" i="20"/>
  <c r="J178" i="20"/>
  <c r="I178" i="20"/>
  <c r="H178" i="20"/>
  <c r="G178" i="20"/>
  <c r="F178" i="20"/>
  <c r="E178" i="20"/>
  <c r="D178" i="20"/>
  <c r="AD177" i="20"/>
  <c r="AC177" i="20"/>
  <c r="AB177" i="20"/>
  <c r="AA177" i="20"/>
  <c r="Z177" i="20"/>
  <c r="X177" i="20"/>
  <c r="W177" i="20"/>
  <c r="V177" i="20"/>
  <c r="U177" i="20"/>
  <c r="T177" i="20" s="1"/>
  <c r="R177" i="20" s="1"/>
  <c r="S177" i="20"/>
  <c r="P177" i="20"/>
  <c r="Y177" i="20" s="1"/>
  <c r="M177" i="20"/>
  <c r="L177" i="20"/>
  <c r="K177" i="20"/>
  <c r="J177" i="20"/>
  <c r="I177" i="20"/>
  <c r="H177" i="20"/>
  <c r="G177" i="20"/>
  <c r="F177" i="20"/>
  <c r="E177" i="20"/>
  <c r="D177" i="20"/>
  <c r="AD176" i="20"/>
  <c r="AC176" i="20"/>
  <c r="AB176" i="20"/>
  <c r="AA176" i="20"/>
  <c r="Z176" i="20"/>
  <c r="X176" i="20"/>
  <c r="W176" i="20"/>
  <c r="V176" i="20"/>
  <c r="U176" i="20"/>
  <c r="S176" i="20"/>
  <c r="P176" i="20"/>
  <c r="Y176" i="20" s="1"/>
  <c r="M176" i="20"/>
  <c r="L176" i="20"/>
  <c r="K176" i="20"/>
  <c r="J176" i="20"/>
  <c r="I176" i="20"/>
  <c r="T176" i="20" s="1"/>
  <c r="R176" i="20" s="1"/>
  <c r="H176" i="20"/>
  <c r="G176" i="20"/>
  <c r="F176" i="20"/>
  <c r="E176" i="20"/>
  <c r="D176" i="20"/>
  <c r="AD175" i="20"/>
  <c r="AC175" i="20"/>
  <c r="AB175" i="20"/>
  <c r="T175" i="20" s="1"/>
  <c r="R175" i="20" s="1"/>
  <c r="AA175" i="20"/>
  <c r="Z175" i="20"/>
  <c r="X175" i="20"/>
  <c r="W175" i="20"/>
  <c r="V175" i="20"/>
  <c r="U175" i="20"/>
  <c r="S175" i="20"/>
  <c r="P175" i="20"/>
  <c r="Y175" i="20" s="1"/>
  <c r="M175" i="20"/>
  <c r="L175" i="20"/>
  <c r="K175" i="20"/>
  <c r="J175" i="20"/>
  <c r="I175" i="20"/>
  <c r="H175" i="20"/>
  <c r="G175" i="20"/>
  <c r="F175" i="20"/>
  <c r="E175" i="20"/>
  <c r="D175" i="20"/>
  <c r="AD174" i="20"/>
  <c r="AC174" i="20"/>
  <c r="AB174" i="20"/>
  <c r="AA174" i="20"/>
  <c r="Z174" i="20"/>
  <c r="X174" i="20"/>
  <c r="W174" i="20"/>
  <c r="V174" i="20"/>
  <c r="U174" i="20"/>
  <c r="T174" i="20" s="1"/>
  <c r="R174" i="20" s="1"/>
  <c r="S174" i="20"/>
  <c r="P174" i="20"/>
  <c r="Y174" i="20" s="1"/>
  <c r="M174" i="20"/>
  <c r="L174" i="20"/>
  <c r="K174" i="20"/>
  <c r="J174" i="20"/>
  <c r="I174" i="20"/>
  <c r="H174" i="20"/>
  <c r="G174" i="20"/>
  <c r="F174" i="20"/>
  <c r="E174" i="20"/>
  <c r="D174" i="20"/>
  <c r="AD173" i="20"/>
  <c r="AC173" i="20"/>
  <c r="AB173" i="20"/>
  <c r="AA173" i="20"/>
  <c r="Z173" i="20"/>
  <c r="X173" i="20"/>
  <c r="W173" i="20"/>
  <c r="T173" i="20" s="1"/>
  <c r="R173" i="20" s="1"/>
  <c r="V173" i="20"/>
  <c r="U173" i="20"/>
  <c r="S173" i="20"/>
  <c r="P173" i="20"/>
  <c r="Y173" i="20" s="1"/>
  <c r="M173" i="20"/>
  <c r="L173" i="20"/>
  <c r="K173" i="20"/>
  <c r="J173" i="20"/>
  <c r="I173" i="20"/>
  <c r="H173" i="20"/>
  <c r="G173" i="20"/>
  <c r="F173" i="20"/>
  <c r="E173" i="20"/>
  <c r="D173" i="20"/>
  <c r="AD172" i="20"/>
  <c r="AC172" i="20"/>
  <c r="AB172" i="20"/>
  <c r="AA172" i="20"/>
  <c r="Z172" i="20"/>
  <c r="X172" i="20"/>
  <c r="W172" i="20"/>
  <c r="V172" i="20"/>
  <c r="U172" i="20"/>
  <c r="T172" i="20" s="1"/>
  <c r="R172" i="20" s="1"/>
  <c r="S172" i="20"/>
  <c r="P172" i="20"/>
  <c r="Y172" i="20" s="1"/>
  <c r="M172" i="20"/>
  <c r="L172" i="20"/>
  <c r="K172" i="20"/>
  <c r="J172" i="20"/>
  <c r="I172" i="20"/>
  <c r="H172" i="20"/>
  <c r="G172" i="20"/>
  <c r="F172" i="20"/>
  <c r="E172" i="20"/>
  <c r="D172" i="20"/>
  <c r="AD171" i="20"/>
  <c r="AC171" i="20"/>
  <c r="AB171" i="20"/>
  <c r="AA171" i="20"/>
  <c r="Z171" i="20"/>
  <c r="X171" i="20"/>
  <c r="W171" i="20"/>
  <c r="V171" i="20"/>
  <c r="U171" i="20"/>
  <c r="T171" i="20" s="1"/>
  <c r="R171" i="20" s="1"/>
  <c r="S171" i="20"/>
  <c r="P171" i="20"/>
  <c r="Y171" i="20" s="1"/>
  <c r="M171" i="20"/>
  <c r="L171" i="20"/>
  <c r="K171" i="20"/>
  <c r="J171" i="20"/>
  <c r="I171" i="20"/>
  <c r="H171" i="20"/>
  <c r="G171" i="20"/>
  <c r="F171" i="20"/>
  <c r="E171" i="20"/>
  <c r="D171" i="20"/>
  <c r="AD170" i="20"/>
  <c r="AC170" i="20"/>
  <c r="AB170" i="20"/>
  <c r="AA170" i="20"/>
  <c r="Z170" i="20"/>
  <c r="X170" i="20"/>
  <c r="W170" i="20"/>
  <c r="V170" i="20"/>
  <c r="T170" i="20" s="1"/>
  <c r="R170" i="20" s="1"/>
  <c r="U170" i="20"/>
  <c r="S170" i="20"/>
  <c r="P170" i="20"/>
  <c r="Y170" i="20" s="1"/>
  <c r="M170" i="20"/>
  <c r="L170" i="20"/>
  <c r="K170" i="20"/>
  <c r="J170" i="20"/>
  <c r="I170" i="20"/>
  <c r="H170" i="20"/>
  <c r="G170" i="20"/>
  <c r="F170" i="20"/>
  <c r="E170" i="20"/>
  <c r="D170" i="20"/>
  <c r="AD169" i="20"/>
  <c r="AC169" i="20"/>
  <c r="AB169" i="20"/>
  <c r="AA169" i="20"/>
  <c r="Z169" i="20"/>
  <c r="X169" i="20"/>
  <c r="W169" i="20"/>
  <c r="V169" i="20"/>
  <c r="U169" i="20"/>
  <c r="T169" i="20" s="1"/>
  <c r="R169" i="20" s="1"/>
  <c r="S169" i="20"/>
  <c r="P169" i="20"/>
  <c r="Y169" i="20" s="1"/>
  <c r="M169" i="20"/>
  <c r="L169" i="20"/>
  <c r="K169" i="20"/>
  <c r="J169" i="20"/>
  <c r="I169" i="20"/>
  <c r="H169" i="20"/>
  <c r="G169" i="20"/>
  <c r="F169" i="20"/>
  <c r="E169" i="20"/>
  <c r="D169" i="20"/>
  <c r="AD168" i="20"/>
  <c r="AC168" i="20"/>
  <c r="AB168" i="20"/>
  <c r="AA168" i="20"/>
  <c r="Z168" i="20"/>
  <c r="X168" i="20"/>
  <c r="W168" i="20"/>
  <c r="V168" i="20"/>
  <c r="U168" i="20"/>
  <c r="S168" i="20"/>
  <c r="P168" i="20"/>
  <c r="Y168" i="20" s="1"/>
  <c r="M168" i="20"/>
  <c r="L168" i="20"/>
  <c r="K168" i="20"/>
  <c r="J168" i="20"/>
  <c r="I168" i="20"/>
  <c r="T168" i="20" s="1"/>
  <c r="R168" i="20" s="1"/>
  <c r="H168" i="20"/>
  <c r="G168" i="20"/>
  <c r="F168" i="20"/>
  <c r="E168" i="20"/>
  <c r="D168" i="20"/>
  <c r="AD167" i="20"/>
  <c r="AC167" i="20"/>
  <c r="AB167" i="20"/>
  <c r="T167" i="20" s="1"/>
  <c r="R167" i="20" s="1"/>
  <c r="AA167" i="20"/>
  <c r="Z167" i="20"/>
  <c r="X167" i="20"/>
  <c r="W167" i="20"/>
  <c r="V167" i="20"/>
  <c r="U167" i="20"/>
  <c r="S167" i="20"/>
  <c r="P167" i="20"/>
  <c r="Y167" i="20" s="1"/>
  <c r="M167" i="20"/>
  <c r="L167" i="20"/>
  <c r="K167" i="20"/>
  <c r="J167" i="20"/>
  <c r="I167" i="20"/>
  <c r="H167" i="20"/>
  <c r="G167" i="20"/>
  <c r="F167" i="20"/>
  <c r="E167" i="20"/>
  <c r="D167" i="20"/>
  <c r="AD166" i="20"/>
  <c r="AC166" i="20"/>
  <c r="AB166" i="20"/>
  <c r="AA166" i="20"/>
  <c r="Z166" i="20"/>
  <c r="X166" i="20"/>
  <c r="W166" i="20"/>
  <c r="V166" i="20"/>
  <c r="U166" i="20"/>
  <c r="T166" i="20" s="1"/>
  <c r="R166" i="20" s="1"/>
  <c r="S166" i="20"/>
  <c r="P166" i="20"/>
  <c r="Y166" i="20" s="1"/>
  <c r="M166" i="20"/>
  <c r="L166" i="20"/>
  <c r="K166" i="20"/>
  <c r="J166" i="20"/>
  <c r="I166" i="20"/>
  <c r="H166" i="20"/>
  <c r="G166" i="20"/>
  <c r="F166" i="20"/>
  <c r="E166" i="20"/>
  <c r="D166" i="20"/>
  <c r="AD165" i="20"/>
  <c r="AC165" i="20"/>
  <c r="AB165" i="20"/>
  <c r="AA165" i="20"/>
  <c r="Z165" i="20"/>
  <c r="X165" i="20"/>
  <c r="W165" i="20"/>
  <c r="T165" i="20" s="1"/>
  <c r="R165" i="20" s="1"/>
  <c r="V165" i="20"/>
  <c r="U165" i="20"/>
  <c r="S165" i="20"/>
  <c r="P165" i="20"/>
  <c r="Y165" i="20" s="1"/>
  <c r="M165" i="20"/>
  <c r="L165" i="20"/>
  <c r="K165" i="20"/>
  <c r="J165" i="20"/>
  <c r="I165" i="20"/>
  <c r="H165" i="20"/>
  <c r="G165" i="20"/>
  <c r="F165" i="20"/>
  <c r="E165" i="20"/>
  <c r="D165" i="20"/>
  <c r="AD164" i="20"/>
  <c r="AC164" i="20"/>
  <c r="AB164" i="20"/>
  <c r="AA164" i="20"/>
  <c r="Z164" i="20"/>
  <c r="X164" i="20"/>
  <c r="W164" i="20"/>
  <c r="V164" i="20"/>
  <c r="U164" i="20"/>
  <c r="T164" i="20" s="1"/>
  <c r="R164" i="20" s="1"/>
  <c r="S164" i="20"/>
  <c r="P164" i="20"/>
  <c r="Y164" i="20" s="1"/>
  <c r="M164" i="20"/>
  <c r="L164" i="20"/>
  <c r="K164" i="20"/>
  <c r="J164" i="20"/>
  <c r="I164" i="20"/>
  <c r="H164" i="20"/>
  <c r="G164" i="20"/>
  <c r="F164" i="20"/>
  <c r="E164" i="20"/>
  <c r="D164" i="20"/>
  <c r="AD163" i="20"/>
  <c r="AC163" i="20"/>
  <c r="AB163" i="20"/>
  <c r="AA163" i="20"/>
  <c r="Z163" i="20"/>
  <c r="X163" i="20"/>
  <c r="W163" i="20"/>
  <c r="V163" i="20"/>
  <c r="U163" i="20"/>
  <c r="S163" i="20"/>
  <c r="P163" i="20"/>
  <c r="Y163" i="20" s="1"/>
  <c r="M163" i="20"/>
  <c r="L163" i="20"/>
  <c r="K163" i="20"/>
  <c r="J163" i="20"/>
  <c r="I163" i="20"/>
  <c r="H163" i="20"/>
  <c r="G163" i="20"/>
  <c r="F163" i="20"/>
  <c r="E163" i="20"/>
  <c r="D163" i="20"/>
  <c r="AD162" i="20"/>
  <c r="AC162" i="20"/>
  <c r="AB162" i="20"/>
  <c r="AA162" i="20"/>
  <c r="Z162" i="20"/>
  <c r="X162" i="20"/>
  <c r="W162" i="20"/>
  <c r="V162" i="20"/>
  <c r="T162" i="20" s="1"/>
  <c r="R162" i="20" s="1"/>
  <c r="U162" i="20"/>
  <c r="S162" i="20"/>
  <c r="P162" i="20"/>
  <c r="Y162" i="20" s="1"/>
  <c r="M162" i="20"/>
  <c r="L162" i="20"/>
  <c r="K162" i="20"/>
  <c r="J162" i="20"/>
  <c r="I162" i="20"/>
  <c r="H162" i="20"/>
  <c r="G162" i="20"/>
  <c r="F162" i="20"/>
  <c r="E162" i="20"/>
  <c r="D162" i="20"/>
  <c r="AD161" i="20"/>
  <c r="AC161" i="20"/>
  <c r="AB161" i="20"/>
  <c r="AA161" i="20"/>
  <c r="Z161" i="20"/>
  <c r="X161" i="20"/>
  <c r="W161" i="20"/>
  <c r="V161" i="20"/>
  <c r="U161" i="20"/>
  <c r="S161" i="20"/>
  <c r="P161" i="20"/>
  <c r="Y161" i="20" s="1"/>
  <c r="M161" i="20"/>
  <c r="L161" i="20"/>
  <c r="K161" i="20"/>
  <c r="J161" i="20"/>
  <c r="I161" i="20"/>
  <c r="H161" i="20"/>
  <c r="G161" i="20"/>
  <c r="F161" i="20"/>
  <c r="E161" i="20"/>
  <c r="D161" i="20"/>
  <c r="AD160" i="20"/>
  <c r="AC160" i="20"/>
  <c r="AB160" i="20"/>
  <c r="AA160" i="20"/>
  <c r="Z160" i="20"/>
  <c r="X160" i="20"/>
  <c r="W160" i="20"/>
  <c r="V160" i="20"/>
  <c r="U160" i="20"/>
  <c r="S160" i="20"/>
  <c r="P160" i="20"/>
  <c r="Y160" i="20" s="1"/>
  <c r="M160" i="20"/>
  <c r="L160" i="20"/>
  <c r="K160" i="20"/>
  <c r="J160" i="20"/>
  <c r="I160" i="20"/>
  <c r="T160" i="20" s="1"/>
  <c r="R160" i="20" s="1"/>
  <c r="H160" i="20"/>
  <c r="G160" i="20"/>
  <c r="F160" i="20"/>
  <c r="E160" i="20"/>
  <c r="D160" i="20"/>
  <c r="AD159" i="20"/>
  <c r="AC159" i="20"/>
  <c r="AB159" i="20"/>
  <c r="AA159" i="20"/>
  <c r="T159" i="20" s="1"/>
  <c r="R159" i="20" s="1"/>
  <c r="Z159" i="20"/>
  <c r="X159" i="20"/>
  <c r="W159" i="20"/>
  <c r="V159" i="20"/>
  <c r="U159" i="20"/>
  <c r="S159" i="20"/>
  <c r="P159" i="20"/>
  <c r="Y159" i="20" s="1"/>
  <c r="M159" i="20"/>
  <c r="L159" i="20"/>
  <c r="K159" i="20"/>
  <c r="J159" i="20"/>
  <c r="I159" i="20"/>
  <c r="H159" i="20"/>
  <c r="G159" i="20"/>
  <c r="F159" i="20"/>
  <c r="E159" i="20"/>
  <c r="D159" i="20"/>
  <c r="AD158" i="20"/>
  <c r="AC158" i="20"/>
  <c r="AB158" i="20"/>
  <c r="AA158" i="20"/>
  <c r="Z158" i="20"/>
  <c r="X158" i="20"/>
  <c r="W158" i="20"/>
  <c r="V158" i="20"/>
  <c r="U158" i="20"/>
  <c r="S158" i="20"/>
  <c r="P158" i="20"/>
  <c r="Y158" i="20" s="1"/>
  <c r="M158" i="20"/>
  <c r="L158" i="20"/>
  <c r="K158" i="20"/>
  <c r="J158" i="20"/>
  <c r="I158" i="20"/>
  <c r="H158" i="20"/>
  <c r="G158" i="20"/>
  <c r="F158" i="20"/>
  <c r="E158" i="20"/>
  <c r="D158" i="20"/>
  <c r="AA157" i="20"/>
  <c r="W157" i="20"/>
  <c r="S157" i="20"/>
  <c r="P157" i="20"/>
  <c r="Z157" i="20" s="1"/>
  <c r="M157" i="20"/>
  <c r="L157" i="20"/>
  <c r="K157" i="20"/>
  <c r="J157" i="20"/>
  <c r="I157" i="20"/>
  <c r="H157" i="20"/>
  <c r="G157" i="20"/>
  <c r="F157" i="20"/>
  <c r="E157" i="20"/>
  <c r="D157" i="20"/>
  <c r="Z156" i="20"/>
  <c r="Y156" i="20"/>
  <c r="X156" i="20"/>
  <c r="S156" i="20"/>
  <c r="P156" i="20"/>
  <c r="M156" i="20"/>
  <c r="L156" i="20"/>
  <c r="K156" i="20"/>
  <c r="J156" i="20"/>
  <c r="I156" i="20"/>
  <c r="H156" i="20"/>
  <c r="G156" i="20"/>
  <c r="F156" i="20"/>
  <c r="E156" i="20"/>
  <c r="D156" i="20"/>
  <c r="X155" i="20"/>
  <c r="S155" i="20"/>
  <c r="P155" i="20"/>
  <c r="Z155" i="20" s="1"/>
  <c r="M155" i="20"/>
  <c r="L155" i="20"/>
  <c r="K155" i="20"/>
  <c r="J155" i="20"/>
  <c r="I155" i="20"/>
  <c r="H155" i="20"/>
  <c r="G155" i="20"/>
  <c r="F155" i="20"/>
  <c r="E155" i="20"/>
  <c r="D155" i="20"/>
  <c r="W154" i="20"/>
  <c r="S154" i="20"/>
  <c r="P154" i="20"/>
  <c r="Z154" i="20" s="1"/>
  <c r="M154" i="20"/>
  <c r="L154" i="20"/>
  <c r="K154" i="20"/>
  <c r="J154" i="20"/>
  <c r="I154" i="20"/>
  <c r="H154" i="20"/>
  <c r="G154" i="20"/>
  <c r="F154" i="20"/>
  <c r="E154" i="20"/>
  <c r="D154" i="20"/>
  <c r="Z153" i="20"/>
  <c r="Y153" i="20"/>
  <c r="S153" i="20"/>
  <c r="P153" i="20"/>
  <c r="X153" i="20" s="1"/>
  <c r="M153" i="20"/>
  <c r="L153" i="20"/>
  <c r="K153" i="20"/>
  <c r="J153" i="20"/>
  <c r="I153" i="20"/>
  <c r="H153" i="20"/>
  <c r="G153" i="20"/>
  <c r="F153" i="20"/>
  <c r="E153" i="20"/>
  <c r="D153" i="20"/>
  <c r="Z152" i="20"/>
  <c r="Y152" i="20"/>
  <c r="X152" i="20"/>
  <c r="W152" i="20"/>
  <c r="S152" i="20"/>
  <c r="P152" i="20"/>
  <c r="M152" i="20"/>
  <c r="L152" i="20"/>
  <c r="K152" i="20"/>
  <c r="J152" i="20"/>
  <c r="I152" i="20"/>
  <c r="H152" i="20"/>
  <c r="G152" i="20"/>
  <c r="F152" i="20"/>
  <c r="E152" i="20"/>
  <c r="D152" i="20"/>
  <c r="Y151" i="20"/>
  <c r="X151" i="20"/>
  <c r="W151" i="20"/>
  <c r="S151" i="20"/>
  <c r="P151" i="20"/>
  <c r="Z151" i="20" s="1"/>
  <c r="M151" i="20"/>
  <c r="L151" i="20"/>
  <c r="K151" i="20"/>
  <c r="J151" i="20"/>
  <c r="I151" i="20"/>
  <c r="H151" i="20"/>
  <c r="G151" i="20"/>
  <c r="F151" i="20"/>
  <c r="E151" i="20"/>
  <c r="D151" i="20"/>
  <c r="AB150" i="20"/>
  <c r="W150" i="20"/>
  <c r="S150" i="20"/>
  <c r="P150" i="20"/>
  <c r="M150" i="20"/>
  <c r="L150" i="20"/>
  <c r="K150" i="20"/>
  <c r="J150" i="20"/>
  <c r="I150" i="20"/>
  <c r="H150" i="20"/>
  <c r="G150" i="20"/>
  <c r="F150" i="20"/>
  <c r="E150" i="20"/>
  <c r="D150" i="20"/>
  <c r="Z149" i="20"/>
  <c r="W149" i="20"/>
  <c r="S149" i="20"/>
  <c r="P149" i="20"/>
  <c r="Y149" i="20" s="1"/>
  <c r="M149" i="20"/>
  <c r="L149" i="20"/>
  <c r="K149" i="20"/>
  <c r="J149" i="20"/>
  <c r="I149" i="20"/>
  <c r="H149" i="20"/>
  <c r="G149" i="20"/>
  <c r="F149" i="20"/>
  <c r="E149" i="20"/>
  <c r="D149" i="20"/>
  <c r="Z148" i="20"/>
  <c r="Y148" i="20"/>
  <c r="X148" i="20"/>
  <c r="S148" i="20"/>
  <c r="P148" i="20"/>
  <c r="M148" i="20"/>
  <c r="L148" i="20"/>
  <c r="K148" i="20"/>
  <c r="J148" i="20"/>
  <c r="I148" i="20"/>
  <c r="H148" i="20"/>
  <c r="G148" i="20"/>
  <c r="F148" i="20"/>
  <c r="E148" i="20"/>
  <c r="D148" i="20"/>
  <c r="X147" i="20"/>
  <c r="S147" i="20"/>
  <c r="P147" i="20"/>
  <c r="Z147" i="20" s="1"/>
  <c r="M147" i="20"/>
  <c r="L147" i="20"/>
  <c r="K147" i="20"/>
  <c r="J147" i="20"/>
  <c r="I147" i="20"/>
  <c r="H147" i="20"/>
  <c r="G147" i="20"/>
  <c r="F147" i="20"/>
  <c r="E147" i="20"/>
  <c r="D147" i="20"/>
  <c r="S146" i="20"/>
  <c r="P146" i="20"/>
  <c r="AB146" i="20" s="1"/>
  <c r="M146" i="20"/>
  <c r="L146" i="20"/>
  <c r="K146" i="20"/>
  <c r="J146" i="20"/>
  <c r="I146" i="20"/>
  <c r="H146" i="20"/>
  <c r="G146" i="20"/>
  <c r="F146" i="20"/>
  <c r="E146" i="20"/>
  <c r="D146" i="20"/>
  <c r="Z145" i="20"/>
  <c r="Y145" i="20"/>
  <c r="S145" i="20"/>
  <c r="P145" i="20"/>
  <c r="X145" i="20" s="1"/>
  <c r="M145" i="20"/>
  <c r="L145" i="20"/>
  <c r="K145" i="20"/>
  <c r="J145" i="20"/>
  <c r="I145" i="20"/>
  <c r="H145" i="20"/>
  <c r="G145" i="20"/>
  <c r="F145" i="20"/>
  <c r="E145" i="20"/>
  <c r="D145" i="20"/>
  <c r="Z144" i="20"/>
  <c r="Y144" i="20"/>
  <c r="X144" i="20"/>
  <c r="W144" i="20"/>
  <c r="S144" i="20"/>
  <c r="P144" i="20"/>
  <c r="M144" i="20"/>
  <c r="L144" i="20"/>
  <c r="K144" i="20"/>
  <c r="J144" i="20"/>
  <c r="I144" i="20"/>
  <c r="H144" i="20"/>
  <c r="G144" i="20"/>
  <c r="F144" i="20"/>
  <c r="E144" i="20"/>
  <c r="D144" i="20"/>
  <c r="Y143" i="20"/>
  <c r="X143" i="20"/>
  <c r="W143" i="20"/>
  <c r="S143" i="20"/>
  <c r="P143" i="20"/>
  <c r="Z143" i="20" s="1"/>
  <c r="M143" i="20"/>
  <c r="L143" i="20"/>
  <c r="K143" i="20"/>
  <c r="J143" i="20"/>
  <c r="I143" i="20"/>
  <c r="H143" i="20"/>
  <c r="G143" i="20"/>
  <c r="F143" i="20"/>
  <c r="E143" i="20"/>
  <c r="D143" i="20"/>
  <c r="Z142" i="20"/>
  <c r="S142" i="20"/>
  <c r="P142" i="20"/>
  <c r="AB142" i="20" s="1"/>
  <c r="M142" i="20"/>
  <c r="L142" i="20"/>
  <c r="K142" i="20"/>
  <c r="J142" i="20"/>
  <c r="I142" i="20"/>
  <c r="H142" i="20"/>
  <c r="G142" i="20"/>
  <c r="F142" i="20"/>
  <c r="E142" i="20"/>
  <c r="D142" i="20"/>
  <c r="Z141" i="20"/>
  <c r="W141" i="20"/>
  <c r="S141" i="20"/>
  <c r="P141" i="20"/>
  <c r="Y141" i="20" s="1"/>
  <c r="M141" i="20"/>
  <c r="L141" i="20"/>
  <c r="K141" i="20"/>
  <c r="J141" i="20"/>
  <c r="I141" i="20"/>
  <c r="H141" i="20"/>
  <c r="G141" i="20"/>
  <c r="F141" i="20"/>
  <c r="E141" i="20"/>
  <c r="D141" i="20"/>
  <c r="Z140" i="20"/>
  <c r="Y140" i="20"/>
  <c r="X140" i="20"/>
  <c r="S140" i="20"/>
  <c r="P140" i="20"/>
  <c r="M140" i="20"/>
  <c r="L140" i="20"/>
  <c r="K140" i="20"/>
  <c r="J140" i="20"/>
  <c r="I140" i="20"/>
  <c r="H140" i="20"/>
  <c r="G140" i="20"/>
  <c r="F140" i="20"/>
  <c r="E140" i="20"/>
  <c r="D140" i="20"/>
  <c r="AD139" i="20"/>
  <c r="Y139" i="20"/>
  <c r="V139" i="20"/>
  <c r="S139" i="20"/>
  <c r="P139" i="20"/>
  <c r="X139" i="20" s="1"/>
  <c r="M139" i="20"/>
  <c r="L139" i="20"/>
  <c r="K139" i="20"/>
  <c r="J139" i="20"/>
  <c r="I139" i="20"/>
  <c r="H139" i="20"/>
  <c r="G139" i="20"/>
  <c r="F139" i="20"/>
  <c r="E139" i="20"/>
  <c r="D139" i="20"/>
  <c r="Z138" i="20"/>
  <c r="V138" i="20"/>
  <c r="S138" i="20"/>
  <c r="P138" i="20"/>
  <c r="M138" i="20"/>
  <c r="L138" i="20"/>
  <c r="K138" i="20"/>
  <c r="J138" i="20"/>
  <c r="I138" i="20"/>
  <c r="H138" i="20"/>
  <c r="G138" i="20"/>
  <c r="F138" i="20"/>
  <c r="E138" i="20"/>
  <c r="D138" i="20"/>
  <c r="AD137" i="20"/>
  <c r="AB137" i="20"/>
  <c r="X137" i="20"/>
  <c r="W137" i="20"/>
  <c r="V137" i="20"/>
  <c r="S137" i="20"/>
  <c r="P137" i="20"/>
  <c r="Y137" i="20" s="1"/>
  <c r="M137" i="20"/>
  <c r="L137" i="20"/>
  <c r="K137" i="20"/>
  <c r="J137" i="20"/>
  <c r="I137" i="20"/>
  <c r="H137" i="20"/>
  <c r="G137" i="20"/>
  <c r="F137" i="20"/>
  <c r="E137" i="20"/>
  <c r="D137" i="20"/>
  <c r="AD136" i="20"/>
  <c r="AB136" i="20"/>
  <c r="Y136" i="20"/>
  <c r="X136" i="20"/>
  <c r="W136" i="20"/>
  <c r="V136" i="20"/>
  <c r="S136" i="20"/>
  <c r="P136" i="20"/>
  <c r="M136" i="20"/>
  <c r="L136" i="20"/>
  <c r="K136" i="20"/>
  <c r="J136" i="20"/>
  <c r="I136" i="20"/>
  <c r="H136" i="20"/>
  <c r="G136" i="20"/>
  <c r="F136" i="20"/>
  <c r="E136" i="20"/>
  <c r="D136" i="20"/>
  <c r="X135" i="20"/>
  <c r="S135" i="20"/>
  <c r="P135" i="20"/>
  <c r="M135" i="20"/>
  <c r="L135" i="20"/>
  <c r="K135" i="20"/>
  <c r="J135" i="20"/>
  <c r="I135" i="20"/>
  <c r="H135" i="20"/>
  <c r="G135" i="20"/>
  <c r="F135" i="20"/>
  <c r="E135" i="20"/>
  <c r="D135" i="20"/>
  <c r="V134" i="20"/>
  <c r="S134" i="20"/>
  <c r="P134" i="20"/>
  <c r="M134" i="20"/>
  <c r="L134" i="20"/>
  <c r="K134" i="20"/>
  <c r="J134" i="20"/>
  <c r="I134" i="20"/>
  <c r="H134" i="20"/>
  <c r="G134" i="20"/>
  <c r="F134" i="20"/>
  <c r="E134" i="20"/>
  <c r="D134" i="20"/>
  <c r="Z133" i="20"/>
  <c r="S133" i="20"/>
  <c r="P133" i="20"/>
  <c r="M133" i="20"/>
  <c r="L133" i="20"/>
  <c r="K133" i="20"/>
  <c r="J133" i="20"/>
  <c r="I133" i="20"/>
  <c r="H133" i="20"/>
  <c r="G133" i="20"/>
  <c r="F133" i="20"/>
  <c r="E133" i="20"/>
  <c r="D133" i="20"/>
  <c r="Y132" i="20"/>
  <c r="W132" i="20"/>
  <c r="U132" i="20"/>
  <c r="S132" i="20"/>
  <c r="P132" i="20"/>
  <c r="AD132" i="20" s="1"/>
  <c r="M132" i="20"/>
  <c r="L132" i="20"/>
  <c r="K132" i="20"/>
  <c r="J132" i="20"/>
  <c r="I132" i="20"/>
  <c r="H132" i="20"/>
  <c r="G132" i="20"/>
  <c r="F132" i="20"/>
  <c r="E132" i="20"/>
  <c r="D132" i="20"/>
  <c r="AB131" i="20"/>
  <c r="Y131" i="20"/>
  <c r="X131" i="20"/>
  <c r="W131" i="20"/>
  <c r="U131" i="20"/>
  <c r="S131" i="20"/>
  <c r="P131" i="20"/>
  <c r="M131" i="20"/>
  <c r="L131" i="20"/>
  <c r="K131" i="20"/>
  <c r="J131" i="20"/>
  <c r="I131" i="20"/>
  <c r="H131" i="20"/>
  <c r="G131" i="20"/>
  <c r="F131" i="20"/>
  <c r="E131" i="20"/>
  <c r="D131" i="20"/>
  <c r="W130" i="20"/>
  <c r="S130" i="20"/>
  <c r="P130" i="20"/>
  <c r="AB130" i="20" s="1"/>
  <c r="M130" i="20"/>
  <c r="L130" i="20"/>
  <c r="K130" i="20"/>
  <c r="J130" i="20"/>
  <c r="I130" i="20"/>
  <c r="H130" i="20"/>
  <c r="G130" i="20"/>
  <c r="F130" i="20"/>
  <c r="E130" i="20"/>
  <c r="D130" i="20"/>
  <c r="AB129" i="20"/>
  <c r="X129" i="20"/>
  <c r="W129" i="20"/>
  <c r="U129" i="20"/>
  <c r="S129" i="20"/>
  <c r="P129" i="20"/>
  <c r="Y129" i="20" s="1"/>
  <c r="M129" i="20"/>
  <c r="L129" i="20"/>
  <c r="K129" i="20"/>
  <c r="J129" i="20"/>
  <c r="I129" i="20"/>
  <c r="H129" i="20"/>
  <c r="G129" i="20"/>
  <c r="F129" i="20"/>
  <c r="E129" i="20"/>
  <c r="D129" i="20"/>
  <c r="AB128" i="20"/>
  <c r="Y128" i="20"/>
  <c r="S128" i="20"/>
  <c r="P128" i="20"/>
  <c r="X128" i="20" s="1"/>
  <c r="M128" i="20"/>
  <c r="L128" i="20"/>
  <c r="K128" i="20"/>
  <c r="J128" i="20"/>
  <c r="I128" i="20"/>
  <c r="H128" i="20"/>
  <c r="G128" i="20"/>
  <c r="F128" i="20"/>
  <c r="E128" i="20"/>
  <c r="D128" i="20"/>
  <c r="AB127" i="20"/>
  <c r="Y127" i="20"/>
  <c r="X127" i="20"/>
  <c r="U127" i="20"/>
  <c r="S127" i="20"/>
  <c r="P127" i="20"/>
  <c r="M127" i="20"/>
  <c r="L127" i="20"/>
  <c r="K127" i="20"/>
  <c r="J127" i="20"/>
  <c r="I127" i="20"/>
  <c r="H127" i="20"/>
  <c r="G127" i="20"/>
  <c r="F127" i="20"/>
  <c r="E127" i="20"/>
  <c r="D127" i="20"/>
  <c r="AC126" i="20"/>
  <c r="AA126" i="20"/>
  <c r="Y126" i="20"/>
  <c r="X126" i="20"/>
  <c r="W126" i="20"/>
  <c r="U126" i="20"/>
  <c r="S126" i="20"/>
  <c r="P126" i="20"/>
  <c r="M126" i="20"/>
  <c r="L126" i="20"/>
  <c r="K126" i="20"/>
  <c r="J126" i="20"/>
  <c r="I126" i="20"/>
  <c r="H126" i="20"/>
  <c r="G126" i="20"/>
  <c r="F126" i="20"/>
  <c r="E126" i="20"/>
  <c r="D126" i="20"/>
  <c r="AC125" i="20"/>
  <c r="AA125" i="20"/>
  <c r="Y125" i="20"/>
  <c r="X125" i="20"/>
  <c r="U125" i="20"/>
  <c r="S125" i="20"/>
  <c r="P125" i="20"/>
  <c r="M125" i="20"/>
  <c r="L125" i="20"/>
  <c r="K125" i="20"/>
  <c r="J125" i="20"/>
  <c r="I125" i="20"/>
  <c r="H125" i="20"/>
  <c r="G125" i="20"/>
  <c r="F125" i="20"/>
  <c r="E125" i="20"/>
  <c r="D125" i="20"/>
  <c r="AC124" i="20"/>
  <c r="AA124" i="20"/>
  <c r="Y124" i="20"/>
  <c r="X124" i="20"/>
  <c r="W124" i="20"/>
  <c r="U124" i="20"/>
  <c r="S124" i="20"/>
  <c r="P124" i="20"/>
  <c r="M124" i="20"/>
  <c r="L124" i="20"/>
  <c r="K124" i="20"/>
  <c r="J124" i="20"/>
  <c r="I124" i="20"/>
  <c r="H124" i="20"/>
  <c r="G124" i="20"/>
  <c r="F124" i="20"/>
  <c r="E124" i="20"/>
  <c r="D124" i="20"/>
  <c r="AC123" i="20"/>
  <c r="AA123" i="20"/>
  <c r="Y123" i="20"/>
  <c r="X123" i="20"/>
  <c r="U123" i="20"/>
  <c r="S123" i="20"/>
  <c r="P123" i="20"/>
  <c r="M123" i="20"/>
  <c r="L123" i="20"/>
  <c r="K123" i="20"/>
  <c r="J123" i="20"/>
  <c r="I123" i="20"/>
  <c r="H123" i="20"/>
  <c r="G123" i="20"/>
  <c r="F123" i="20"/>
  <c r="E123" i="20"/>
  <c r="D123" i="20"/>
  <c r="AC122" i="20"/>
  <c r="AA122" i="20"/>
  <c r="Y122" i="20"/>
  <c r="X122" i="20"/>
  <c r="W122" i="20"/>
  <c r="U122" i="20"/>
  <c r="S122" i="20"/>
  <c r="P122" i="20"/>
  <c r="M122" i="20"/>
  <c r="L122" i="20"/>
  <c r="K122" i="20"/>
  <c r="J122" i="20"/>
  <c r="I122" i="20"/>
  <c r="H122" i="20"/>
  <c r="G122" i="20"/>
  <c r="F122" i="20"/>
  <c r="E122" i="20"/>
  <c r="D122" i="20"/>
  <c r="AC121" i="20"/>
  <c r="AA121" i="20"/>
  <c r="Y121" i="20"/>
  <c r="X121" i="20"/>
  <c r="U121" i="20"/>
  <c r="S121" i="20"/>
  <c r="P121" i="20"/>
  <c r="M121" i="20"/>
  <c r="L121" i="20"/>
  <c r="K121" i="20"/>
  <c r="J121" i="20"/>
  <c r="I121" i="20"/>
  <c r="H121" i="20"/>
  <c r="G121" i="20"/>
  <c r="F121" i="20"/>
  <c r="E121" i="20"/>
  <c r="D121" i="20"/>
  <c r="AC120" i="20"/>
  <c r="AA120" i="20"/>
  <c r="Y120" i="20"/>
  <c r="X120" i="20"/>
  <c r="W120" i="20"/>
  <c r="U120" i="20"/>
  <c r="S120" i="20"/>
  <c r="P120" i="20"/>
  <c r="M120" i="20"/>
  <c r="L120" i="20"/>
  <c r="K120" i="20"/>
  <c r="J120" i="20"/>
  <c r="I120" i="20"/>
  <c r="H120" i="20"/>
  <c r="G120" i="20"/>
  <c r="F120" i="20"/>
  <c r="E120" i="20"/>
  <c r="D120" i="20"/>
  <c r="AC119" i="20"/>
  <c r="AA119" i="20"/>
  <c r="Y119" i="20"/>
  <c r="X119" i="20"/>
  <c r="U119" i="20"/>
  <c r="S119" i="20"/>
  <c r="P119" i="20"/>
  <c r="M119" i="20"/>
  <c r="L119" i="20"/>
  <c r="K119" i="20"/>
  <c r="J119" i="20"/>
  <c r="I119" i="20"/>
  <c r="H119" i="20"/>
  <c r="G119" i="20"/>
  <c r="F119" i="20"/>
  <c r="E119" i="20"/>
  <c r="D119" i="20"/>
  <c r="S118" i="20"/>
  <c r="P118" i="20"/>
  <c r="Y118" i="20" s="1"/>
  <c r="M118" i="20"/>
  <c r="L118" i="20"/>
  <c r="K118" i="20"/>
  <c r="J118" i="20"/>
  <c r="I118" i="20"/>
  <c r="H118" i="20"/>
  <c r="G118" i="20"/>
  <c r="F118" i="20"/>
  <c r="E118" i="20"/>
  <c r="D118" i="20"/>
  <c r="AC117" i="20"/>
  <c r="AB117" i="20"/>
  <c r="AA117" i="20"/>
  <c r="Y117" i="20"/>
  <c r="X117" i="20"/>
  <c r="W117" i="20"/>
  <c r="U117" i="20"/>
  <c r="S117" i="20"/>
  <c r="P117" i="20"/>
  <c r="M117" i="20"/>
  <c r="L117" i="20"/>
  <c r="K117" i="20"/>
  <c r="J117" i="20"/>
  <c r="I117" i="20"/>
  <c r="H117" i="20"/>
  <c r="G117" i="20"/>
  <c r="F117" i="20"/>
  <c r="E117" i="20"/>
  <c r="D117" i="20"/>
  <c r="Y116" i="20"/>
  <c r="U116" i="20"/>
  <c r="S116" i="20"/>
  <c r="P116" i="20"/>
  <c r="X116" i="20" s="1"/>
  <c r="M116" i="20"/>
  <c r="L116" i="20"/>
  <c r="K116" i="20"/>
  <c r="J116" i="20"/>
  <c r="I116" i="20"/>
  <c r="H116" i="20"/>
  <c r="G116" i="20"/>
  <c r="F116" i="20"/>
  <c r="E116" i="20"/>
  <c r="D116" i="20"/>
  <c r="AC115" i="20"/>
  <c r="AB115" i="20"/>
  <c r="AA115" i="20"/>
  <c r="Y115" i="20"/>
  <c r="X115" i="20"/>
  <c r="W115" i="20"/>
  <c r="S115" i="20"/>
  <c r="P115" i="20"/>
  <c r="M115" i="20"/>
  <c r="L115" i="20"/>
  <c r="K115" i="20"/>
  <c r="J115" i="20"/>
  <c r="I115" i="20"/>
  <c r="H115" i="20"/>
  <c r="G115" i="20"/>
  <c r="F115" i="20"/>
  <c r="E115" i="20"/>
  <c r="D115" i="20"/>
  <c r="Z114" i="20"/>
  <c r="U114" i="20"/>
  <c r="S114" i="20"/>
  <c r="P114" i="20"/>
  <c r="AC114" i="20" s="1"/>
  <c r="M114" i="20"/>
  <c r="L114" i="20"/>
  <c r="K114" i="20"/>
  <c r="J114" i="20"/>
  <c r="I114" i="20"/>
  <c r="H114" i="20"/>
  <c r="G114" i="20"/>
  <c r="F114" i="20"/>
  <c r="E114" i="20"/>
  <c r="D114" i="20"/>
  <c r="AC113" i="20"/>
  <c r="AB113" i="20"/>
  <c r="AA113" i="20"/>
  <c r="Y113" i="20"/>
  <c r="X113" i="20"/>
  <c r="W113" i="20"/>
  <c r="U113" i="20"/>
  <c r="S113" i="20"/>
  <c r="P113" i="20"/>
  <c r="M113" i="20"/>
  <c r="L113" i="20"/>
  <c r="K113" i="20"/>
  <c r="J113" i="20"/>
  <c r="I113" i="20"/>
  <c r="H113" i="20"/>
  <c r="G113" i="20"/>
  <c r="F113" i="20"/>
  <c r="E113" i="20"/>
  <c r="D113" i="20"/>
  <c r="S112" i="20"/>
  <c r="P112" i="20"/>
  <c r="Z112" i="20" s="1"/>
  <c r="M112" i="20"/>
  <c r="L112" i="20"/>
  <c r="K112" i="20"/>
  <c r="J112" i="20"/>
  <c r="I112" i="20"/>
  <c r="H112" i="20"/>
  <c r="G112" i="20"/>
  <c r="F112" i="20"/>
  <c r="E112" i="20"/>
  <c r="D112" i="20"/>
  <c r="AC111" i="20"/>
  <c r="AB111" i="20"/>
  <c r="AA111" i="20"/>
  <c r="Y111" i="20"/>
  <c r="X111" i="20"/>
  <c r="W111" i="20"/>
  <c r="S111" i="20"/>
  <c r="P111" i="20"/>
  <c r="M111" i="20"/>
  <c r="L111" i="20"/>
  <c r="K111" i="20"/>
  <c r="J111" i="20"/>
  <c r="I111" i="20"/>
  <c r="H111" i="20"/>
  <c r="G111" i="20"/>
  <c r="F111" i="20"/>
  <c r="E111" i="20"/>
  <c r="D111" i="20"/>
  <c r="AC110" i="20"/>
  <c r="S110" i="20"/>
  <c r="P110" i="20"/>
  <c r="Z110" i="20" s="1"/>
  <c r="M110" i="20"/>
  <c r="L110" i="20"/>
  <c r="K110" i="20"/>
  <c r="J110" i="20"/>
  <c r="I110" i="20"/>
  <c r="H110" i="20"/>
  <c r="G110" i="20"/>
  <c r="F110" i="20"/>
  <c r="E110" i="20"/>
  <c r="D110" i="20"/>
  <c r="AC109" i="20"/>
  <c r="AB109" i="20"/>
  <c r="AA109" i="20"/>
  <c r="Y109" i="20"/>
  <c r="X109" i="20"/>
  <c r="W109" i="20"/>
  <c r="U109" i="20"/>
  <c r="S109" i="20"/>
  <c r="P109" i="20"/>
  <c r="M109" i="20"/>
  <c r="L109" i="20"/>
  <c r="K109" i="20"/>
  <c r="J109" i="20"/>
  <c r="I109" i="20"/>
  <c r="H109" i="20"/>
  <c r="G109" i="20"/>
  <c r="F109" i="20"/>
  <c r="E109" i="20"/>
  <c r="D109" i="20"/>
  <c r="AC108" i="20"/>
  <c r="S108" i="20"/>
  <c r="P108" i="20"/>
  <c r="Z108" i="20" s="1"/>
  <c r="M108" i="20"/>
  <c r="L108" i="20"/>
  <c r="K108" i="20"/>
  <c r="J108" i="20"/>
  <c r="I108" i="20"/>
  <c r="H108" i="20"/>
  <c r="G108" i="20"/>
  <c r="F108" i="20"/>
  <c r="E108" i="20"/>
  <c r="D108" i="20"/>
  <c r="AC107" i="20"/>
  <c r="AB107" i="20"/>
  <c r="AA107" i="20"/>
  <c r="Y107" i="20"/>
  <c r="X107" i="20"/>
  <c r="W107" i="20"/>
  <c r="S107" i="20"/>
  <c r="P107" i="20"/>
  <c r="M107" i="20"/>
  <c r="L107" i="20"/>
  <c r="K107" i="20"/>
  <c r="J107" i="20"/>
  <c r="I107" i="20"/>
  <c r="H107" i="20"/>
  <c r="G107" i="20"/>
  <c r="F107" i="20"/>
  <c r="E107" i="20"/>
  <c r="D107" i="20"/>
  <c r="AC106" i="20"/>
  <c r="S106" i="20"/>
  <c r="P106" i="20"/>
  <c r="Z106" i="20" s="1"/>
  <c r="M106" i="20"/>
  <c r="L106" i="20"/>
  <c r="K106" i="20"/>
  <c r="J106" i="20"/>
  <c r="I106" i="20"/>
  <c r="H106" i="20"/>
  <c r="G106" i="20"/>
  <c r="F106" i="20"/>
  <c r="E106" i="20"/>
  <c r="D106" i="20"/>
  <c r="AC105" i="20"/>
  <c r="AB105" i="20"/>
  <c r="AA105" i="20"/>
  <c r="Y105" i="20"/>
  <c r="X105" i="20"/>
  <c r="W105" i="20"/>
  <c r="U105" i="20"/>
  <c r="S105" i="20"/>
  <c r="P105" i="20"/>
  <c r="M105" i="20"/>
  <c r="L105" i="20"/>
  <c r="K105" i="20"/>
  <c r="J105" i="20"/>
  <c r="I105" i="20"/>
  <c r="H105" i="20"/>
  <c r="G105" i="20"/>
  <c r="F105" i="20"/>
  <c r="E105" i="20"/>
  <c r="D105" i="20"/>
  <c r="AC104" i="20"/>
  <c r="Z104" i="20"/>
  <c r="Y104" i="20"/>
  <c r="W104" i="20"/>
  <c r="S104" i="20"/>
  <c r="P104" i="20"/>
  <c r="M104" i="20"/>
  <c r="L104" i="20"/>
  <c r="K104" i="20"/>
  <c r="J104" i="20"/>
  <c r="I104" i="20"/>
  <c r="H104" i="20"/>
  <c r="G104" i="20"/>
  <c r="F104" i="20"/>
  <c r="E104" i="20"/>
  <c r="D104" i="20"/>
  <c r="AC103" i="20"/>
  <c r="AA103" i="20"/>
  <c r="Y103" i="20"/>
  <c r="X103" i="20"/>
  <c r="W103" i="20"/>
  <c r="U103" i="20"/>
  <c r="S103" i="20"/>
  <c r="P103" i="20"/>
  <c r="M103" i="20"/>
  <c r="L103" i="20"/>
  <c r="K103" i="20"/>
  <c r="J103" i="20"/>
  <c r="I103" i="20"/>
  <c r="H103" i="20"/>
  <c r="G103" i="20"/>
  <c r="F103" i="20"/>
  <c r="E103" i="20"/>
  <c r="D103" i="20"/>
  <c r="AC102" i="20"/>
  <c r="AA102" i="20"/>
  <c r="Y102" i="20"/>
  <c r="X102" i="20"/>
  <c r="U102" i="20"/>
  <c r="S102" i="20"/>
  <c r="P102" i="20"/>
  <c r="M102" i="20"/>
  <c r="L102" i="20"/>
  <c r="K102" i="20"/>
  <c r="J102" i="20"/>
  <c r="I102" i="20"/>
  <c r="H102" i="20"/>
  <c r="G102" i="20"/>
  <c r="F102" i="20"/>
  <c r="E102" i="20"/>
  <c r="D102" i="20"/>
  <c r="AC101" i="20"/>
  <c r="AA101" i="20"/>
  <c r="Y101" i="20"/>
  <c r="X101" i="20"/>
  <c r="W101" i="20"/>
  <c r="U101" i="20"/>
  <c r="S101" i="20"/>
  <c r="P101" i="20"/>
  <c r="M101" i="20"/>
  <c r="L101" i="20"/>
  <c r="K101" i="20"/>
  <c r="J101" i="20"/>
  <c r="I101" i="20"/>
  <c r="H101" i="20"/>
  <c r="G101" i="20"/>
  <c r="F101" i="20"/>
  <c r="E101" i="20"/>
  <c r="D101" i="20"/>
  <c r="AC100" i="20"/>
  <c r="AA100" i="20"/>
  <c r="Y100" i="20"/>
  <c r="X100" i="20"/>
  <c r="U100" i="20"/>
  <c r="S100" i="20"/>
  <c r="P100" i="20"/>
  <c r="M100" i="20"/>
  <c r="L100" i="20"/>
  <c r="K100" i="20"/>
  <c r="J100" i="20"/>
  <c r="I100" i="20"/>
  <c r="H100" i="20"/>
  <c r="G100" i="20"/>
  <c r="F100" i="20"/>
  <c r="E100" i="20"/>
  <c r="D100" i="20"/>
  <c r="AC99" i="20"/>
  <c r="AA99" i="20"/>
  <c r="Y99" i="20"/>
  <c r="X99" i="20"/>
  <c r="W99" i="20"/>
  <c r="U99" i="20"/>
  <c r="S99" i="20"/>
  <c r="P99" i="20"/>
  <c r="M99" i="20"/>
  <c r="L99" i="20"/>
  <c r="K99" i="20"/>
  <c r="J99" i="20"/>
  <c r="I99" i="20"/>
  <c r="H99" i="20"/>
  <c r="G99" i="20"/>
  <c r="F99" i="20"/>
  <c r="E99" i="20"/>
  <c r="D99" i="20"/>
  <c r="AC98" i="20"/>
  <c r="AA98" i="20"/>
  <c r="Y98" i="20"/>
  <c r="X98" i="20"/>
  <c r="U98" i="20"/>
  <c r="S98" i="20"/>
  <c r="P98" i="20"/>
  <c r="M98" i="20"/>
  <c r="L98" i="20"/>
  <c r="K98" i="20"/>
  <c r="J98" i="20"/>
  <c r="I98" i="20"/>
  <c r="H98" i="20"/>
  <c r="G98" i="20"/>
  <c r="F98" i="20"/>
  <c r="E98" i="20"/>
  <c r="D98" i="20"/>
  <c r="AC97" i="20"/>
  <c r="AA97" i="20"/>
  <c r="Y97" i="20"/>
  <c r="X97" i="20"/>
  <c r="W97" i="20"/>
  <c r="U97" i="20"/>
  <c r="S97" i="20"/>
  <c r="P97" i="20"/>
  <c r="M97" i="20"/>
  <c r="L97" i="20"/>
  <c r="K97" i="20"/>
  <c r="J97" i="20"/>
  <c r="I97" i="20"/>
  <c r="H97" i="20"/>
  <c r="G97" i="20"/>
  <c r="F97" i="20"/>
  <c r="E97" i="20"/>
  <c r="D97" i="20"/>
  <c r="AC96" i="20"/>
  <c r="AA96" i="20"/>
  <c r="Y96" i="20"/>
  <c r="X96" i="20"/>
  <c r="U96" i="20"/>
  <c r="S96" i="20"/>
  <c r="P96" i="20"/>
  <c r="M96" i="20"/>
  <c r="L96" i="20"/>
  <c r="K96" i="20"/>
  <c r="J96" i="20"/>
  <c r="I96" i="20"/>
  <c r="H96" i="20"/>
  <c r="G96" i="20"/>
  <c r="F96" i="20"/>
  <c r="E96" i="20"/>
  <c r="D96" i="20"/>
  <c r="AC95" i="20"/>
  <c r="AA95" i="20"/>
  <c r="Y95" i="20"/>
  <c r="X95" i="20"/>
  <c r="W95" i="20"/>
  <c r="U95" i="20"/>
  <c r="S95" i="20"/>
  <c r="P95" i="20"/>
  <c r="M95" i="20"/>
  <c r="L95" i="20"/>
  <c r="K95" i="20"/>
  <c r="J95" i="20"/>
  <c r="I95" i="20"/>
  <c r="H95" i="20"/>
  <c r="G95" i="20"/>
  <c r="F95" i="20"/>
  <c r="E95" i="20"/>
  <c r="D95" i="20"/>
  <c r="AC94" i="20"/>
  <c r="AA94" i="20"/>
  <c r="Y94" i="20"/>
  <c r="X94" i="20"/>
  <c r="U94" i="20"/>
  <c r="S94" i="20"/>
  <c r="P94" i="20"/>
  <c r="M94" i="20"/>
  <c r="L94" i="20"/>
  <c r="K94" i="20"/>
  <c r="J94" i="20"/>
  <c r="I94" i="20"/>
  <c r="H94" i="20"/>
  <c r="G94" i="20"/>
  <c r="F94" i="20"/>
  <c r="E94" i="20"/>
  <c r="D94" i="20"/>
  <c r="AC93" i="20"/>
  <c r="AA93" i="20"/>
  <c r="Y93" i="20"/>
  <c r="X93" i="20"/>
  <c r="W93" i="20"/>
  <c r="U93" i="20"/>
  <c r="S93" i="20"/>
  <c r="P93" i="20"/>
  <c r="M93" i="20"/>
  <c r="L93" i="20"/>
  <c r="K93" i="20"/>
  <c r="J93" i="20"/>
  <c r="I93" i="20"/>
  <c r="H93" i="20"/>
  <c r="G93" i="20"/>
  <c r="F93" i="20"/>
  <c r="E93" i="20"/>
  <c r="D93" i="20"/>
  <c r="AC92" i="20"/>
  <c r="AA92" i="20"/>
  <c r="Y92" i="20"/>
  <c r="X92" i="20"/>
  <c r="U92" i="20"/>
  <c r="S92" i="20"/>
  <c r="P92" i="20"/>
  <c r="M92" i="20"/>
  <c r="L92" i="20"/>
  <c r="K92" i="20"/>
  <c r="J92" i="20"/>
  <c r="I92" i="20"/>
  <c r="H92" i="20"/>
  <c r="G92" i="20"/>
  <c r="F92" i="20"/>
  <c r="E92" i="20"/>
  <c r="D92" i="20"/>
  <c r="AC91" i="20"/>
  <c r="AA91" i="20"/>
  <c r="Y91" i="20"/>
  <c r="X91" i="20"/>
  <c r="W91" i="20"/>
  <c r="U91" i="20"/>
  <c r="S91" i="20"/>
  <c r="P91" i="20"/>
  <c r="M91" i="20"/>
  <c r="L91" i="20"/>
  <c r="K91" i="20"/>
  <c r="J91" i="20"/>
  <c r="I91" i="20"/>
  <c r="H91" i="20"/>
  <c r="G91" i="20"/>
  <c r="F91" i="20"/>
  <c r="E91" i="20"/>
  <c r="D91" i="20"/>
  <c r="AC90" i="20"/>
  <c r="AA90" i="20"/>
  <c r="Y90" i="20"/>
  <c r="X90" i="20"/>
  <c r="U90" i="20"/>
  <c r="S90" i="20"/>
  <c r="P90" i="20"/>
  <c r="M90" i="20"/>
  <c r="L90" i="20"/>
  <c r="K90" i="20"/>
  <c r="J90" i="20"/>
  <c r="I90" i="20"/>
  <c r="H90" i="20"/>
  <c r="G90" i="20"/>
  <c r="F90" i="20"/>
  <c r="E90" i="20"/>
  <c r="D90" i="20"/>
  <c r="AC89" i="20"/>
  <c r="AA89" i="20"/>
  <c r="Y89" i="20"/>
  <c r="X89" i="20"/>
  <c r="W89" i="20"/>
  <c r="U89" i="20"/>
  <c r="S89" i="20"/>
  <c r="P89" i="20"/>
  <c r="M89" i="20"/>
  <c r="L89" i="20"/>
  <c r="K89" i="20"/>
  <c r="J89" i="20"/>
  <c r="I89" i="20"/>
  <c r="H89" i="20"/>
  <c r="G89" i="20"/>
  <c r="F89" i="20"/>
  <c r="E89" i="20"/>
  <c r="D89" i="20"/>
  <c r="AC88" i="20"/>
  <c r="AA88" i="20"/>
  <c r="Y88" i="20"/>
  <c r="X88" i="20"/>
  <c r="U88" i="20"/>
  <c r="S88" i="20"/>
  <c r="P88" i="20"/>
  <c r="M88" i="20"/>
  <c r="L88" i="20"/>
  <c r="K88" i="20"/>
  <c r="J88" i="20"/>
  <c r="I88" i="20"/>
  <c r="H88" i="20"/>
  <c r="G88" i="20"/>
  <c r="F88" i="20"/>
  <c r="E88" i="20"/>
  <c r="D88" i="20"/>
  <c r="AC87" i="20"/>
  <c r="AA87" i="20"/>
  <c r="Y87" i="20"/>
  <c r="X87" i="20"/>
  <c r="W87" i="20"/>
  <c r="U87" i="20"/>
  <c r="S87" i="20"/>
  <c r="P87" i="20"/>
  <c r="M87" i="20"/>
  <c r="L87" i="20"/>
  <c r="K87" i="20"/>
  <c r="J87" i="20"/>
  <c r="I87" i="20"/>
  <c r="H87" i="20"/>
  <c r="G87" i="20"/>
  <c r="F87" i="20"/>
  <c r="E87" i="20"/>
  <c r="D87" i="20"/>
  <c r="AC86" i="20"/>
  <c r="AA86" i="20"/>
  <c r="Y86" i="20"/>
  <c r="X86" i="20"/>
  <c r="U86" i="20"/>
  <c r="S86" i="20"/>
  <c r="P86" i="20"/>
  <c r="M86" i="20"/>
  <c r="L86" i="20"/>
  <c r="K86" i="20"/>
  <c r="J86" i="20"/>
  <c r="I86" i="20"/>
  <c r="H86" i="20"/>
  <c r="G86" i="20"/>
  <c r="F86" i="20"/>
  <c r="E86" i="20"/>
  <c r="D86" i="20"/>
  <c r="AC85" i="20"/>
  <c r="AA85" i="20"/>
  <c r="Y85" i="20"/>
  <c r="X85" i="20"/>
  <c r="W85" i="20"/>
  <c r="U85" i="20"/>
  <c r="S85" i="20"/>
  <c r="P85" i="20"/>
  <c r="M85" i="20"/>
  <c r="L85" i="20"/>
  <c r="K85" i="20"/>
  <c r="J85" i="20"/>
  <c r="I85" i="20"/>
  <c r="H85" i="20"/>
  <c r="G85" i="20"/>
  <c r="F85" i="20"/>
  <c r="E85" i="20"/>
  <c r="D85" i="20"/>
  <c r="AC84" i="20"/>
  <c r="AA84" i="20"/>
  <c r="Y84" i="20"/>
  <c r="X84" i="20"/>
  <c r="U84" i="20"/>
  <c r="S84" i="20"/>
  <c r="P84" i="20"/>
  <c r="M84" i="20"/>
  <c r="L84" i="20"/>
  <c r="K84" i="20"/>
  <c r="J84" i="20"/>
  <c r="I84" i="20"/>
  <c r="H84" i="20"/>
  <c r="G84" i="20"/>
  <c r="F84" i="20"/>
  <c r="E84" i="20"/>
  <c r="D84" i="20"/>
  <c r="AC83" i="20"/>
  <c r="AA83" i="20"/>
  <c r="Y83" i="20"/>
  <c r="X83" i="20"/>
  <c r="W83" i="20"/>
  <c r="U83" i="20"/>
  <c r="S83" i="20"/>
  <c r="P83" i="20"/>
  <c r="M83" i="20"/>
  <c r="L83" i="20"/>
  <c r="K83" i="20"/>
  <c r="J83" i="20"/>
  <c r="I83" i="20"/>
  <c r="H83" i="20"/>
  <c r="G83" i="20"/>
  <c r="F83" i="20"/>
  <c r="E83" i="20"/>
  <c r="D83" i="20"/>
  <c r="AC82" i="20"/>
  <c r="AA82" i="20"/>
  <c r="Y82" i="20"/>
  <c r="X82" i="20"/>
  <c r="U82" i="20"/>
  <c r="S82" i="20"/>
  <c r="P82" i="20"/>
  <c r="M82" i="20"/>
  <c r="L82" i="20"/>
  <c r="K82" i="20"/>
  <c r="J82" i="20"/>
  <c r="I82" i="20"/>
  <c r="H82" i="20"/>
  <c r="G82" i="20"/>
  <c r="F82" i="20"/>
  <c r="E82" i="20"/>
  <c r="D82" i="20"/>
  <c r="AC81" i="20"/>
  <c r="AA81" i="20"/>
  <c r="Y81" i="20"/>
  <c r="X81" i="20"/>
  <c r="W81" i="20"/>
  <c r="U81" i="20"/>
  <c r="S81" i="20"/>
  <c r="P81" i="20"/>
  <c r="M81" i="20"/>
  <c r="L81" i="20"/>
  <c r="K81" i="20"/>
  <c r="J81" i="20"/>
  <c r="I81" i="20"/>
  <c r="H81" i="20"/>
  <c r="G81" i="20"/>
  <c r="F81" i="20"/>
  <c r="E81" i="20"/>
  <c r="D81" i="20"/>
  <c r="AC80" i="20"/>
  <c r="AA80" i="20"/>
  <c r="Y80" i="20"/>
  <c r="X80" i="20"/>
  <c r="U80" i="20"/>
  <c r="S80" i="20"/>
  <c r="P80" i="20"/>
  <c r="M80" i="20"/>
  <c r="L80" i="20"/>
  <c r="K80" i="20"/>
  <c r="J80" i="20"/>
  <c r="I80" i="20"/>
  <c r="H80" i="20"/>
  <c r="G80" i="20"/>
  <c r="F80" i="20"/>
  <c r="E80" i="20"/>
  <c r="D80" i="20"/>
  <c r="AC79" i="20"/>
  <c r="AA79" i="20"/>
  <c r="Y79" i="20"/>
  <c r="X79" i="20"/>
  <c r="W79" i="20"/>
  <c r="U79" i="20"/>
  <c r="S79" i="20"/>
  <c r="P79" i="20"/>
  <c r="M79" i="20"/>
  <c r="L79" i="20"/>
  <c r="K79" i="20"/>
  <c r="J79" i="20"/>
  <c r="I79" i="20"/>
  <c r="H79" i="20"/>
  <c r="G79" i="20"/>
  <c r="F79" i="20"/>
  <c r="E79" i="20"/>
  <c r="D79" i="20"/>
  <c r="AC78" i="20"/>
  <c r="AA78" i="20"/>
  <c r="Y78" i="20"/>
  <c r="X78" i="20"/>
  <c r="U78" i="20"/>
  <c r="S78" i="20"/>
  <c r="P78" i="20"/>
  <c r="M78" i="20"/>
  <c r="L78" i="20"/>
  <c r="K78" i="20"/>
  <c r="J78" i="20"/>
  <c r="I78" i="20"/>
  <c r="H78" i="20"/>
  <c r="G78" i="20"/>
  <c r="F78" i="20"/>
  <c r="E78" i="20"/>
  <c r="D78" i="20"/>
  <c r="AC77" i="20"/>
  <c r="AA77" i="20"/>
  <c r="Y77" i="20"/>
  <c r="X77" i="20"/>
  <c r="W77" i="20"/>
  <c r="U77" i="20"/>
  <c r="S77" i="20"/>
  <c r="P77" i="20"/>
  <c r="M77" i="20"/>
  <c r="L77" i="20"/>
  <c r="K77" i="20"/>
  <c r="J77" i="20"/>
  <c r="I77" i="20"/>
  <c r="H77" i="20"/>
  <c r="G77" i="20"/>
  <c r="F77" i="20"/>
  <c r="E77" i="20"/>
  <c r="D77" i="20"/>
  <c r="AC76" i="20"/>
  <c r="AA76" i="20"/>
  <c r="Y76" i="20"/>
  <c r="X76" i="20"/>
  <c r="U76" i="20"/>
  <c r="S76" i="20"/>
  <c r="P76" i="20"/>
  <c r="M76" i="20"/>
  <c r="L76" i="20"/>
  <c r="K76" i="20"/>
  <c r="J76" i="20"/>
  <c r="I76" i="20"/>
  <c r="H76" i="20"/>
  <c r="G76" i="20"/>
  <c r="F76" i="20"/>
  <c r="E76" i="20"/>
  <c r="D76" i="20"/>
  <c r="AC75" i="20"/>
  <c r="AA75" i="20"/>
  <c r="Y75" i="20"/>
  <c r="X75" i="20"/>
  <c r="W75" i="20"/>
  <c r="U75" i="20"/>
  <c r="S75" i="20"/>
  <c r="P75" i="20"/>
  <c r="M75" i="20"/>
  <c r="L75" i="20"/>
  <c r="K75" i="20"/>
  <c r="J75" i="20"/>
  <c r="I75" i="20"/>
  <c r="H75" i="20"/>
  <c r="G75" i="20"/>
  <c r="F75" i="20"/>
  <c r="E75" i="20"/>
  <c r="D75" i="20"/>
  <c r="AC74" i="20"/>
  <c r="AA74" i="20"/>
  <c r="Y74" i="20"/>
  <c r="X74" i="20"/>
  <c r="U74" i="20"/>
  <c r="S74" i="20"/>
  <c r="P74" i="20"/>
  <c r="M74" i="20"/>
  <c r="L74" i="20"/>
  <c r="K74" i="20"/>
  <c r="J74" i="20"/>
  <c r="I74" i="20"/>
  <c r="H74" i="20"/>
  <c r="G74" i="20"/>
  <c r="F74" i="20"/>
  <c r="E74" i="20"/>
  <c r="D74" i="20"/>
  <c r="AD73" i="20"/>
  <c r="AB73" i="20"/>
  <c r="AA73" i="20"/>
  <c r="Z73" i="20"/>
  <c r="X73" i="20"/>
  <c r="W73" i="20"/>
  <c r="V73" i="20"/>
  <c r="S73" i="20"/>
  <c r="P73" i="20"/>
  <c r="AC73" i="20" s="1"/>
  <c r="M73" i="20"/>
  <c r="L73" i="20"/>
  <c r="K73" i="20"/>
  <c r="J73" i="20"/>
  <c r="I73" i="20"/>
  <c r="H73" i="20"/>
  <c r="G73" i="20"/>
  <c r="F73" i="20"/>
  <c r="E73" i="20"/>
  <c r="D73" i="20"/>
  <c r="AD72" i="20"/>
  <c r="AB72" i="20"/>
  <c r="AA72" i="20"/>
  <c r="Z72" i="20"/>
  <c r="X72" i="20"/>
  <c r="W72" i="20"/>
  <c r="V72" i="20"/>
  <c r="S72" i="20"/>
  <c r="P72" i="20"/>
  <c r="AC72" i="20" s="1"/>
  <c r="M72" i="20"/>
  <c r="L72" i="20"/>
  <c r="K72" i="20"/>
  <c r="J72" i="20"/>
  <c r="I72" i="20"/>
  <c r="H72" i="20"/>
  <c r="G72" i="20"/>
  <c r="F72" i="20"/>
  <c r="E72" i="20"/>
  <c r="D72" i="20"/>
  <c r="AD71" i="20"/>
  <c r="AB71" i="20"/>
  <c r="AA71" i="20"/>
  <c r="Z71" i="20"/>
  <c r="X71" i="20"/>
  <c r="W71" i="20"/>
  <c r="V71" i="20"/>
  <c r="S71" i="20"/>
  <c r="P71" i="20"/>
  <c r="AC71" i="20" s="1"/>
  <c r="M71" i="20"/>
  <c r="L71" i="20"/>
  <c r="K71" i="20"/>
  <c r="J71" i="20"/>
  <c r="I71" i="20"/>
  <c r="H71" i="20"/>
  <c r="G71" i="20"/>
  <c r="F71" i="20"/>
  <c r="E71" i="20"/>
  <c r="D71" i="20"/>
  <c r="AD70" i="20"/>
  <c r="AB70" i="20"/>
  <c r="AA70" i="20"/>
  <c r="Z70" i="20"/>
  <c r="X70" i="20"/>
  <c r="W70" i="20"/>
  <c r="V70" i="20"/>
  <c r="S70" i="20"/>
  <c r="P70" i="20"/>
  <c r="AC70" i="20" s="1"/>
  <c r="M70" i="20"/>
  <c r="L70" i="20"/>
  <c r="K70" i="20"/>
  <c r="J70" i="20"/>
  <c r="I70" i="20"/>
  <c r="H70" i="20"/>
  <c r="G70" i="20"/>
  <c r="F70" i="20"/>
  <c r="E70" i="20"/>
  <c r="D70" i="20"/>
  <c r="AD69" i="20"/>
  <c r="AB69" i="20"/>
  <c r="AA69" i="20"/>
  <c r="Z69" i="20"/>
  <c r="X69" i="20"/>
  <c r="W69" i="20"/>
  <c r="V69" i="20"/>
  <c r="S69" i="20"/>
  <c r="P69" i="20"/>
  <c r="AC69" i="20" s="1"/>
  <c r="M69" i="20"/>
  <c r="L69" i="20"/>
  <c r="K69" i="20"/>
  <c r="J69" i="20"/>
  <c r="I69" i="20"/>
  <c r="H69" i="20"/>
  <c r="G69" i="20"/>
  <c r="F69" i="20"/>
  <c r="E69" i="20"/>
  <c r="D69" i="20"/>
  <c r="AD68" i="20"/>
  <c r="AB68" i="20"/>
  <c r="AA68" i="20"/>
  <c r="Z68" i="20"/>
  <c r="X68" i="20"/>
  <c r="W68" i="20"/>
  <c r="V68" i="20"/>
  <c r="S68" i="20"/>
  <c r="P68" i="20"/>
  <c r="AC68" i="20" s="1"/>
  <c r="M68" i="20"/>
  <c r="L68" i="20"/>
  <c r="K68" i="20"/>
  <c r="J68" i="20"/>
  <c r="I68" i="20"/>
  <c r="H68" i="20"/>
  <c r="G68" i="20"/>
  <c r="F68" i="20"/>
  <c r="E68" i="20"/>
  <c r="D68" i="20"/>
  <c r="AD67" i="20"/>
  <c r="AB67" i="20"/>
  <c r="AA67" i="20"/>
  <c r="Z67" i="20"/>
  <c r="X67" i="20"/>
  <c r="W67" i="20"/>
  <c r="V67" i="20"/>
  <c r="S67" i="20"/>
  <c r="P67" i="20"/>
  <c r="AC67" i="20" s="1"/>
  <c r="M67" i="20"/>
  <c r="L67" i="20"/>
  <c r="K67" i="20"/>
  <c r="J67" i="20"/>
  <c r="I67" i="20"/>
  <c r="H67" i="20"/>
  <c r="G67" i="20"/>
  <c r="F67" i="20"/>
  <c r="E67" i="20"/>
  <c r="D67" i="20"/>
  <c r="AD66" i="20"/>
  <c r="AB66" i="20"/>
  <c r="AA66" i="20"/>
  <c r="Z66" i="20"/>
  <c r="X66" i="20"/>
  <c r="W66" i="20"/>
  <c r="V66" i="20"/>
  <c r="S66" i="20"/>
  <c r="P66" i="20"/>
  <c r="AC66" i="20" s="1"/>
  <c r="M66" i="20"/>
  <c r="L66" i="20"/>
  <c r="K66" i="20"/>
  <c r="J66" i="20"/>
  <c r="I66" i="20"/>
  <c r="H66" i="20"/>
  <c r="G66" i="20"/>
  <c r="F66" i="20"/>
  <c r="E66" i="20"/>
  <c r="D66" i="20"/>
  <c r="AD65" i="20"/>
  <c r="AB65" i="20"/>
  <c r="AA65" i="20"/>
  <c r="Z65" i="20"/>
  <c r="X65" i="20"/>
  <c r="W65" i="20"/>
  <c r="V65" i="20"/>
  <c r="S65" i="20"/>
  <c r="P65" i="20"/>
  <c r="AC65" i="20" s="1"/>
  <c r="M65" i="20"/>
  <c r="L65" i="20"/>
  <c r="K65" i="20"/>
  <c r="J65" i="20"/>
  <c r="I65" i="20"/>
  <c r="H65" i="20"/>
  <c r="G65" i="20"/>
  <c r="F65" i="20"/>
  <c r="E65" i="20"/>
  <c r="D65" i="20"/>
  <c r="AD64" i="20"/>
  <c r="AB64" i="20"/>
  <c r="AA64" i="20"/>
  <c r="Z64" i="20"/>
  <c r="X64" i="20"/>
  <c r="W64" i="20"/>
  <c r="V64" i="20"/>
  <c r="S64" i="20"/>
  <c r="P64" i="20"/>
  <c r="AC64" i="20" s="1"/>
  <c r="M64" i="20"/>
  <c r="L64" i="20"/>
  <c r="K64" i="20"/>
  <c r="J64" i="20"/>
  <c r="I64" i="20"/>
  <c r="H64" i="20"/>
  <c r="G64" i="20"/>
  <c r="F64" i="20"/>
  <c r="E64" i="20"/>
  <c r="D64" i="20"/>
  <c r="AD63" i="20"/>
  <c r="AB63" i="20"/>
  <c r="AA63" i="20"/>
  <c r="Z63" i="20"/>
  <c r="X63" i="20"/>
  <c r="W63" i="20"/>
  <c r="V63" i="20"/>
  <c r="S63" i="20"/>
  <c r="P63" i="20"/>
  <c r="AC63" i="20" s="1"/>
  <c r="M63" i="20"/>
  <c r="L63" i="20"/>
  <c r="K63" i="20"/>
  <c r="J63" i="20"/>
  <c r="I63" i="20"/>
  <c r="H63" i="20"/>
  <c r="G63" i="20"/>
  <c r="F63" i="20"/>
  <c r="E63" i="20"/>
  <c r="D63" i="20"/>
  <c r="AD62" i="20"/>
  <c r="AB62" i="20"/>
  <c r="AA62" i="20"/>
  <c r="Z62" i="20"/>
  <c r="X62" i="20"/>
  <c r="W62" i="20"/>
  <c r="V62" i="20"/>
  <c r="S62" i="20"/>
  <c r="P62" i="20"/>
  <c r="AC62" i="20" s="1"/>
  <c r="M62" i="20"/>
  <c r="L62" i="20"/>
  <c r="K62" i="20"/>
  <c r="J62" i="20"/>
  <c r="I62" i="20"/>
  <c r="H62" i="20"/>
  <c r="G62" i="20"/>
  <c r="F62" i="20"/>
  <c r="E62" i="20"/>
  <c r="D62" i="20"/>
  <c r="AD61" i="20"/>
  <c r="AB61" i="20"/>
  <c r="AA61" i="20"/>
  <c r="Z61" i="20"/>
  <c r="X61" i="20"/>
  <c r="W61" i="20"/>
  <c r="V61" i="20"/>
  <c r="S61" i="20"/>
  <c r="P61" i="20"/>
  <c r="AC61" i="20" s="1"/>
  <c r="M61" i="20"/>
  <c r="L61" i="20"/>
  <c r="K61" i="20"/>
  <c r="J61" i="20"/>
  <c r="I61" i="20"/>
  <c r="H61" i="20"/>
  <c r="G61" i="20"/>
  <c r="F61" i="20"/>
  <c r="E61" i="20"/>
  <c r="D61" i="20"/>
  <c r="AD60" i="20"/>
  <c r="AB60" i="20"/>
  <c r="AA60" i="20"/>
  <c r="Z60" i="20"/>
  <c r="X60" i="20"/>
  <c r="W60" i="20"/>
  <c r="V60" i="20"/>
  <c r="S60" i="20"/>
  <c r="P60" i="20"/>
  <c r="AC60" i="20" s="1"/>
  <c r="M60" i="20"/>
  <c r="L60" i="20"/>
  <c r="K60" i="20"/>
  <c r="J60" i="20"/>
  <c r="I60" i="20"/>
  <c r="H60" i="20"/>
  <c r="G60" i="20"/>
  <c r="F60" i="20"/>
  <c r="E60" i="20"/>
  <c r="D60" i="20"/>
  <c r="AD59" i="20"/>
  <c r="AB59" i="20"/>
  <c r="AA59" i="20"/>
  <c r="Z59" i="20"/>
  <c r="X59" i="20"/>
  <c r="W59" i="20"/>
  <c r="V59" i="20"/>
  <c r="S59" i="20"/>
  <c r="P59" i="20"/>
  <c r="AC59" i="20" s="1"/>
  <c r="M59" i="20"/>
  <c r="L59" i="20"/>
  <c r="K59" i="20"/>
  <c r="J59" i="20"/>
  <c r="I59" i="20"/>
  <c r="H59" i="20"/>
  <c r="G59" i="20"/>
  <c r="F59" i="20"/>
  <c r="E59" i="20"/>
  <c r="D59" i="20"/>
  <c r="AD58" i="20"/>
  <c r="AB58" i="20"/>
  <c r="AA58" i="20"/>
  <c r="Z58" i="20"/>
  <c r="X58" i="20"/>
  <c r="W58" i="20"/>
  <c r="V58" i="20"/>
  <c r="S58" i="20"/>
  <c r="P58" i="20"/>
  <c r="AC58" i="20" s="1"/>
  <c r="M58" i="20"/>
  <c r="L58" i="20"/>
  <c r="K58" i="20"/>
  <c r="J58" i="20"/>
  <c r="I58" i="20"/>
  <c r="H58" i="20"/>
  <c r="G58" i="20"/>
  <c r="F58" i="20"/>
  <c r="E58" i="20"/>
  <c r="D58" i="20"/>
  <c r="AD57" i="20"/>
  <c r="AB57" i="20"/>
  <c r="AA57" i="20"/>
  <c r="Z57" i="20"/>
  <c r="X57" i="20"/>
  <c r="W57" i="20"/>
  <c r="V57" i="20"/>
  <c r="S57" i="20"/>
  <c r="P57" i="20"/>
  <c r="AC57" i="20" s="1"/>
  <c r="M57" i="20"/>
  <c r="L57" i="20"/>
  <c r="K57" i="20"/>
  <c r="J57" i="20"/>
  <c r="I57" i="20"/>
  <c r="H57" i="20"/>
  <c r="G57" i="20"/>
  <c r="F57" i="20"/>
  <c r="E57" i="20"/>
  <c r="D57" i="20"/>
  <c r="AD56" i="20"/>
  <c r="AB56" i="20"/>
  <c r="AA56" i="20"/>
  <c r="Z56" i="20"/>
  <c r="X56" i="20"/>
  <c r="W56" i="20"/>
  <c r="V56" i="20"/>
  <c r="S56" i="20"/>
  <c r="P56" i="20"/>
  <c r="AC56" i="20" s="1"/>
  <c r="M56" i="20"/>
  <c r="L56" i="20"/>
  <c r="K56" i="20"/>
  <c r="J56" i="20"/>
  <c r="I56" i="20"/>
  <c r="H56" i="20"/>
  <c r="G56" i="20"/>
  <c r="F56" i="20"/>
  <c r="E56" i="20"/>
  <c r="D56" i="20"/>
  <c r="AD55" i="20"/>
  <c r="AB55" i="20"/>
  <c r="AA55" i="20"/>
  <c r="Z55" i="20"/>
  <c r="X55" i="20"/>
  <c r="W55" i="20"/>
  <c r="V55" i="20"/>
  <c r="S55" i="20"/>
  <c r="P55" i="20"/>
  <c r="AC55" i="20" s="1"/>
  <c r="M55" i="20"/>
  <c r="L55" i="20"/>
  <c r="K55" i="20"/>
  <c r="J55" i="20"/>
  <c r="I55" i="20"/>
  <c r="H55" i="20"/>
  <c r="G55" i="20"/>
  <c r="F55" i="20"/>
  <c r="E55" i="20"/>
  <c r="D55" i="20"/>
  <c r="AD54" i="20"/>
  <c r="AB54" i="20"/>
  <c r="AA54" i="20"/>
  <c r="Z54" i="20"/>
  <c r="X54" i="20"/>
  <c r="W54" i="20"/>
  <c r="V54" i="20"/>
  <c r="S54" i="20"/>
  <c r="P54" i="20"/>
  <c r="AC54" i="20" s="1"/>
  <c r="M54" i="20"/>
  <c r="L54" i="20"/>
  <c r="K54" i="20"/>
  <c r="J54" i="20"/>
  <c r="I54" i="20"/>
  <c r="H54" i="20"/>
  <c r="G54" i="20"/>
  <c r="F54" i="20"/>
  <c r="E54" i="20"/>
  <c r="D54" i="20"/>
  <c r="AD53" i="20"/>
  <c r="AB53" i="20"/>
  <c r="AA53" i="20"/>
  <c r="Z53" i="20"/>
  <c r="X53" i="20"/>
  <c r="W53" i="20"/>
  <c r="V53" i="20"/>
  <c r="S53" i="20"/>
  <c r="P53" i="20"/>
  <c r="AC53" i="20" s="1"/>
  <c r="M53" i="20"/>
  <c r="L53" i="20"/>
  <c r="K53" i="20"/>
  <c r="J53" i="20"/>
  <c r="I53" i="20"/>
  <c r="H53" i="20"/>
  <c r="G53" i="20"/>
  <c r="F53" i="20"/>
  <c r="E53" i="20"/>
  <c r="D53" i="20"/>
  <c r="AD52" i="20"/>
  <c r="AB52" i="20"/>
  <c r="AA52" i="20"/>
  <c r="Z52" i="20"/>
  <c r="X52" i="20"/>
  <c r="W52" i="20"/>
  <c r="V52" i="20"/>
  <c r="S52" i="20"/>
  <c r="P52" i="20"/>
  <c r="AC52" i="20" s="1"/>
  <c r="M52" i="20"/>
  <c r="L52" i="20"/>
  <c r="K52" i="20"/>
  <c r="J52" i="20"/>
  <c r="I52" i="20"/>
  <c r="H52" i="20"/>
  <c r="G52" i="20"/>
  <c r="F52" i="20"/>
  <c r="E52" i="20"/>
  <c r="D52" i="20"/>
  <c r="AD51" i="20"/>
  <c r="AB51" i="20"/>
  <c r="AA51" i="20"/>
  <c r="Z51" i="20"/>
  <c r="X51" i="20"/>
  <c r="W51" i="20"/>
  <c r="V51" i="20"/>
  <c r="S51" i="20"/>
  <c r="P51" i="20"/>
  <c r="AC51" i="20" s="1"/>
  <c r="M51" i="20"/>
  <c r="L51" i="20"/>
  <c r="K51" i="20"/>
  <c r="J51" i="20"/>
  <c r="I51" i="20"/>
  <c r="H51" i="20"/>
  <c r="G51" i="20"/>
  <c r="F51" i="20"/>
  <c r="E51" i="20"/>
  <c r="D51" i="20"/>
  <c r="AD50" i="20"/>
  <c r="AB50" i="20"/>
  <c r="AA50" i="20"/>
  <c r="Z50" i="20"/>
  <c r="X50" i="20"/>
  <c r="W50" i="20"/>
  <c r="V50" i="20"/>
  <c r="S50" i="20"/>
  <c r="P50" i="20"/>
  <c r="AC50" i="20" s="1"/>
  <c r="M50" i="20"/>
  <c r="L50" i="20"/>
  <c r="K50" i="20"/>
  <c r="J50" i="20"/>
  <c r="I50" i="20"/>
  <c r="H50" i="20"/>
  <c r="G50" i="20"/>
  <c r="F50" i="20"/>
  <c r="E50" i="20"/>
  <c r="D50" i="20"/>
  <c r="AD49" i="20"/>
  <c r="AB49" i="20"/>
  <c r="AA49" i="20"/>
  <c r="Z49" i="20"/>
  <c r="X49" i="20"/>
  <c r="W49" i="20"/>
  <c r="V49" i="20"/>
  <c r="S49" i="20"/>
  <c r="P49" i="20"/>
  <c r="AC49" i="20" s="1"/>
  <c r="M49" i="20"/>
  <c r="L49" i="20"/>
  <c r="K49" i="20"/>
  <c r="J49" i="20"/>
  <c r="I49" i="20"/>
  <c r="H49" i="20"/>
  <c r="G49" i="20"/>
  <c r="F49" i="20"/>
  <c r="E49" i="20"/>
  <c r="D49" i="20"/>
  <c r="AD48" i="20"/>
  <c r="AB48" i="20"/>
  <c r="AA48" i="20"/>
  <c r="Z48" i="20"/>
  <c r="X48" i="20"/>
  <c r="W48" i="20"/>
  <c r="V48" i="20"/>
  <c r="S48" i="20"/>
  <c r="P48" i="20"/>
  <c r="AC48" i="20" s="1"/>
  <c r="M48" i="20"/>
  <c r="L48" i="20"/>
  <c r="K48" i="20"/>
  <c r="J48" i="20"/>
  <c r="I48" i="20"/>
  <c r="H48" i="20"/>
  <c r="G48" i="20"/>
  <c r="F48" i="20"/>
  <c r="E48" i="20"/>
  <c r="D48" i="20"/>
  <c r="AD47" i="20"/>
  <c r="AB47" i="20"/>
  <c r="AA47" i="20"/>
  <c r="Z47" i="20"/>
  <c r="X47" i="20"/>
  <c r="W47" i="20"/>
  <c r="V47" i="20"/>
  <c r="S47" i="20"/>
  <c r="P47" i="20"/>
  <c r="AC47" i="20" s="1"/>
  <c r="M47" i="20"/>
  <c r="L47" i="20"/>
  <c r="K47" i="20"/>
  <c r="J47" i="20"/>
  <c r="I47" i="20"/>
  <c r="H47" i="20"/>
  <c r="G47" i="20"/>
  <c r="F47" i="20"/>
  <c r="E47" i="20"/>
  <c r="D47" i="20"/>
  <c r="AD46" i="20"/>
  <c r="AB46" i="20"/>
  <c r="AA46" i="20"/>
  <c r="Z46" i="20"/>
  <c r="X46" i="20"/>
  <c r="W46" i="20"/>
  <c r="V46" i="20"/>
  <c r="S46" i="20"/>
  <c r="P46" i="20"/>
  <c r="AC46" i="20" s="1"/>
  <c r="M46" i="20"/>
  <c r="L46" i="20"/>
  <c r="K46" i="20"/>
  <c r="J46" i="20"/>
  <c r="I46" i="20"/>
  <c r="H46" i="20"/>
  <c r="G46" i="20"/>
  <c r="F46" i="20"/>
  <c r="E46" i="20"/>
  <c r="D46" i="20"/>
  <c r="AD45" i="20"/>
  <c r="AB45" i="20"/>
  <c r="AA45" i="20"/>
  <c r="Z45" i="20"/>
  <c r="X45" i="20"/>
  <c r="W45" i="20"/>
  <c r="V45" i="20"/>
  <c r="S45" i="20"/>
  <c r="P45" i="20"/>
  <c r="AC45" i="20" s="1"/>
  <c r="M45" i="20"/>
  <c r="L45" i="20"/>
  <c r="K45" i="20"/>
  <c r="J45" i="20"/>
  <c r="I45" i="20"/>
  <c r="H45" i="20"/>
  <c r="G45" i="20"/>
  <c r="F45" i="20"/>
  <c r="E45" i="20"/>
  <c r="D45" i="20"/>
  <c r="AD44" i="20"/>
  <c r="AB44" i="20"/>
  <c r="AA44" i="20"/>
  <c r="Z44" i="20"/>
  <c r="X44" i="20"/>
  <c r="W44" i="20"/>
  <c r="V44" i="20"/>
  <c r="S44" i="20"/>
  <c r="P44" i="20"/>
  <c r="AC44" i="20" s="1"/>
  <c r="M44" i="20"/>
  <c r="L44" i="20"/>
  <c r="K44" i="20"/>
  <c r="J44" i="20"/>
  <c r="I44" i="20"/>
  <c r="H44" i="20"/>
  <c r="G44" i="20"/>
  <c r="F44" i="20"/>
  <c r="E44" i="20"/>
  <c r="D44" i="20"/>
  <c r="P43" i="20"/>
  <c r="M43" i="20"/>
  <c r="L43" i="20"/>
  <c r="K43" i="20"/>
  <c r="J43" i="20"/>
  <c r="I43" i="20"/>
  <c r="H43" i="20"/>
  <c r="G43" i="20"/>
  <c r="F43" i="20"/>
  <c r="E43" i="20"/>
  <c r="D43" i="20"/>
  <c r="U42" i="20"/>
  <c r="P42" i="20"/>
  <c r="AB42" i="20" s="1"/>
  <c r="M42" i="20"/>
  <c r="L42" i="20"/>
  <c r="K42" i="20"/>
  <c r="J42" i="20"/>
  <c r="I42" i="20"/>
  <c r="H42" i="20"/>
  <c r="G42" i="20"/>
  <c r="F42" i="20"/>
  <c r="E42" i="20"/>
  <c r="D42" i="20"/>
  <c r="AC41" i="20"/>
  <c r="AB41" i="20"/>
  <c r="X41" i="20"/>
  <c r="U41" i="20"/>
  <c r="Q41" i="20"/>
  <c r="S41" i="20" s="1"/>
  <c r="P41" i="20"/>
  <c r="Y41" i="20" s="1"/>
  <c r="M41" i="20"/>
  <c r="L41" i="20"/>
  <c r="K41" i="20"/>
  <c r="J41" i="20"/>
  <c r="I41" i="20"/>
  <c r="H41" i="20"/>
  <c r="G41" i="20"/>
  <c r="F41" i="20"/>
  <c r="E41" i="20"/>
  <c r="D41" i="20"/>
  <c r="AD40" i="20"/>
  <c r="AC40" i="20"/>
  <c r="AB40" i="20"/>
  <c r="AA40" i="20"/>
  <c r="Z40" i="20"/>
  <c r="Y40" i="20"/>
  <c r="W40" i="20"/>
  <c r="V40" i="20"/>
  <c r="U40" i="20"/>
  <c r="S40" i="20"/>
  <c r="Q40" i="20"/>
  <c r="P40" i="20"/>
  <c r="X40" i="20" s="1"/>
  <c r="M40" i="20"/>
  <c r="L40" i="20"/>
  <c r="K40" i="20"/>
  <c r="J40" i="20"/>
  <c r="I40" i="20"/>
  <c r="H40" i="20"/>
  <c r="G40" i="20"/>
  <c r="F40" i="20"/>
  <c r="E40" i="20"/>
  <c r="D40" i="20"/>
  <c r="AD39" i="20"/>
  <c r="W39" i="20"/>
  <c r="P39" i="20"/>
  <c r="Z39" i="20" s="1"/>
  <c r="M39" i="20"/>
  <c r="L39" i="20"/>
  <c r="K39" i="20"/>
  <c r="J39" i="20"/>
  <c r="I39" i="20"/>
  <c r="H39" i="20"/>
  <c r="G39" i="20"/>
  <c r="F39" i="20"/>
  <c r="E39" i="20"/>
  <c r="D39" i="20"/>
  <c r="AC38" i="20"/>
  <c r="AB38" i="20"/>
  <c r="Y38" i="20"/>
  <c r="W38" i="20"/>
  <c r="U38" i="20"/>
  <c r="S38" i="20"/>
  <c r="Q38" i="20"/>
  <c r="P38" i="20"/>
  <c r="X38" i="20" s="1"/>
  <c r="M38" i="20"/>
  <c r="L38" i="20"/>
  <c r="K38" i="20"/>
  <c r="J38" i="20"/>
  <c r="I38" i="20"/>
  <c r="H38" i="20"/>
  <c r="G38" i="20"/>
  <c r="F38" i="20"/>
  <c r="E38" i="20"/>
  <c r="D38" i="20"/>
  <c r="Z37" i="20"/>
  <c r="P37" i="20"/>
  <c r="V37" i="20" s="1"/>
  <c r="M37" i="20"/>
  <c r="L37" i="20"/>
  <c r="K37" i="20"/>
  <c r="J37" i="20"/>
  <c r="I37" i="20"/>
  <c r="H37" i="20"/>
  <c r="G37" i="20"/>
  <c r="F37" i="20"/>
  <c r="E37" i="20"/>
  <c r="D37" i="20"/>
  <c r="AD36" i="20"/>
  <c r="AC36" i="20"/>
  <c r="AA36" i="20"/>
  <c r="Z36" i="20"/>
  <c r="Y36" i="20"/>
  <c r="W36" i="20"/>
  <c r="V36" i="20"/>
  <c r="U36" i="20"/>
  <c r="S36" i="20"/>
  <c r="Q36" i="20"/>
  <c r="P36" i="20"/>
  <c r="AB36" i="20" s="1"/>
  <c r="M36" i="20"/>
  <c r="L36" i="20"/>
  <c r="K36" i="20"/>
  <c r="J36" i="20"/>
  <c r="I36" i="20"/>
  <c r="H36" i="20"/>
  <c r="G36" i="20"/>
  <c r="F36" i="20"/>
  <c r="E36" i="20"/>
  <c r="D36" i="20"/>
  <c r="P35" i="20"/>
  <c r="Z35" i="20" s="1"/>
  <c r="M35" i="20"/>
  <c r="L35" i="20"/>
  <c r="K35" i="20"/>
  <c r="J35" i="20"/>
  <c r="I35" i="20"/>
  <c r="H35" i="20"/>
  <c r="G35" i="20"/>
  <c r="F35" i="20"/>
  <c r="E35" i="20"/>
  <c r="D35" i="20"/>
  <c r="P34" i="20"/>
  <c r="AC34" i="20" s="1"/>
  <c r="M34" i="20"/>
  <c r="L34" i="20"/>
  <c r="K34" i="20"/>
  <c r="J34" i="20"/>
  <c r="I34" i="20"/>
  <c r="H34" i="20"/>
  <c r="G34" i="20"/>
  <c r="F34" i="20"/>
  <c r="E34" i="20"/>
  <c r="D34" i="20"/>
  <c r="AD33" i="20"/>
  <c r="AB33" i="20"/>
  <c r="Y33" i="20"/>
  <c r="X33" i="20"/>
  <c r="V33" i="20"/>
  <c r="Q33" i="20"/>
  <c r="S33" i="20" s="1"/>
  <c r="P33" i="20"/>
  <c r="M33" i="20"/>
  <c r="L33" i="20"/>
  <c r="K33" i="20"/>
  <c r="J33" i="20"/>
  <c r="I33" i="20"/>
  <c r="H33" i="20"/>
  <c r="G33" i="20"/>
  <c r="F33" i="20"/>
  <c r="E33" i="20"/>
  <c r="D33" i="20"/>
  <c r="AD32" i="20"/>
  <c r="AC32" i="20"/>
  <c r="AB32" i="20"/>
  <c r="AA32" i="20"/>
  <c r="Z32" i="20"/>
  <c r="Y32" i="20"/>
  <c r="W32" i="20"/>
  <c r="V32" i="20"/>
  <c r="U32" i="20"/>
  <c r="S32" i="20"/>
  <c r="Q32" i="20"/>
  <c r="P32" i="20"/>
  <c r="X32" i="20" s="1"/>
  <c r="M32" i="20"/>
  <c r="L32" i="20"/>
  <c r="K32" i="20"/>
  <c r="J32" i="20"/>
  <c r="I32" i="20"/>
  <c r="H32" i="20"/>
  <c r="G32" i="20"/>
  <c r="F32" i="20"/>
  <c r="E32" i="20"/>
  <c r="D32" i="20"/>
  <c r="AD31" i="20"/>
  <c r="AB31" i="20"/>
  <c r="Z31" i="20"/>
  <c r="W31" i="20"/>
  <c r="V31" i="20"/>
  <c r="P31" i="20"/>
  <c r="X31" i="20" s="1"/>
  <c r="M31" i="20"/>
  <c r="L31" i="20"/>
  <c r="K31" i="20"/>
  <c r="J31" i="20"/>
  <c r="I31" i="20"/>
  <c r="H31" i="20"/>
  <c r="G31" i="20"/>
  <c r="F31" i="20"/>
  <c r="E31" i="20"/>
  <c r="D31" i="20"/>
  <c r="AC30" i="20"/>
  <c r="Y30" i="20"/>
  <c r="U30" i="20"/>
  <c r="P30" i="20"/>
  <c r="M30" i="20"/>
  <c r="L30" i="20"/>
  <c r="K30" i="20"/>
  <c r="J30" i="20"/>
  <c r="I30" i="20"/>
  <c r="H30" i="20"/>
  <c r="G30" i="20"/>
  <c r="F30" i="20"/>
  <c r="E30" i="20"/>
  <c r="D30" i="20"/>
  <c r="AC29" i="20"/>
  <c r="V29" i="20"/>
  <c r="P29" i="20"/>
  <c r="Y29" i="20" s="1"/>
  <c r="M29" i="20"/>
  <c r="L29" i="20"/>
  <c r="K29" i="20"/>
  <c r="J29" i="20"/>
  <c r="I29" i="20"/>
  <c r="H29" i="20"/>
  <c r="G29" i="20"/>
  <c r="F29" i="20"/>
  <c r="E29" i="20"/>
  <c r="D29" i="20"/>
  <c r="AD28" i="20"/>
  <c r="AC28" i="20"/>
  <c r="AA28" i="20"/>
  <c r="Z28" i="20"/>
  <c r="Y28" i="20"/>
  <c r="W28" i="20"/>
  <c r="V28" i="20"/>
  <c r="U28" i="20"/>
  <c r="S28" i="20"/>
  <c r="Q28" i="20"/>
  <c r="P28" i="20"/>
  <c r="AB28" i="20" s="1"/>
  <c r="M28" i="20"/>
  <c r="L28" i="20"/>
  <c r="K28" i="20"/>
  <c r="J28" i="20"/>
  <c r="I28" i="20"/>
  <c r="H28" i="20"/>
  <c r="G28" i="20"/>
  <c r="F28" i="20"/>
  <c r="E28" i="20"/>
  <c r="D28" i="20"/>
  <c r="P27" i="20"/>
  <c r="V27" i="20" s="1"/>
  <c r="M27" i="20"/>
  <c r="L27" i="20"/>
  <c r="K27" i="20"/>
  <c r="J27" i="20"/>
  <c r="I27" i="20"/>
  <c r="H27" i="20"/>
  <c r="G27" i="20"/>
  <c r="F27" i="20"/>
  <c r="E27" i="20"/>
  <c r="D27" i="20"/>
  <c r="AC26" i="20"/>
  <c r="W26" i="20"/>
  <c r="P26" i="20"/>
  <c r="Y26" i="20" s="1"/>
  <c r="M26" i="20"/>
  <c r="L26" i="20"/>
  <c r="K26" i="20"/>
  <c r="J26" i="20"/>
  <c r="I26" i="20"/>
  <c r="H26" i="20"/>
  <c r="G26" i="20"/>
  <c r="F26" i="20"/>
  <c r="E26" i="20"/>
  <c r="D26" i="20"/>
  <c r="AD25" i="20"/>
  <c r="P25" i="20"/>
  <c r="Z25" i="20" s="1"/>
  <c r="M25" i="20"/>
  <c r="L25" i="20"/>
  <c r="K25" i="20"/>
  <c r="J25" i="20"/>
  <c r="I25" i="20"/>
  <c r="H25" i="20"/>
  <c r="G25" i="20"/>
  <c r="F25" i="20"/>
  <c r="E25" i="20"/>
  <c r="D25" i="20"/>
  <c r="AD24" i="20"/>
  <c r="AC24" i="20"/>
  <c r="AB24" i="20"/>
  <c r="AA24" i="20"/>
  <c r="Z24" i="20"/>
  <c r="Y24" i="20"/>
  <c r="W24" i="20"/>
  <c r="V24" i="20"/>
  <c r="U24" i="20"/>
  <c r="S24" i="20"/>
  <c r="Q24" i="20"/>
  <c r="P24" i="20"/>
  <c r="X24" i="20" s="1"/>
  <c r="M24" i="20"/>
  <c r="L24" i="20"/>
  <c r="K24" i="20"/>
  <c r="J24" i="20"/>
  <c r="I24" i="20"/>
  <c r="H24" i="20"/>
  <c r="G24" i="20"/>
  <c r="F24" i="20"/>
  <c r="E24" i="20"/>
  <c r="D24" i="20"/>
  <c r="AD23" i="20"/>
  <c r="Z23" i="20"/>
  <c r="V23" i="20"/>
  <c r="P23" i="20"/>
  <c r="M23" i="20"/>
  <c r="L23" i="20"/>
  <c r="K23" i="20"/>
  <c r="J23" i="20"/>
  <c r="I23" i="20"/>
  <c r="H23" i="20"/>
  <c r="G23" i="20"/>
  <c r="F23" i="20"/>
  <c r="E23" i="20"/>
  <c r="D23" i="20"/>
  <c r="AC22" i="20"/>
  <c r="AB22" i="20"/>
  <c r="Y22" i="20"/>
  <c r="X22" i="20"/>
  <c r="W22" i="20"/>
  <c r="U22" i="20"/>
  <c r="Q22" i="20"/>
  <c r="S22" i="20" s="1"/>
  <c r="P22" i="20"/>
  <c r="M22" i="20"/>
  <c r="L22" i="20"/>
  <c r="K22" i="20"/>
  <c r="J22" i="20"/>
  <c r="I22" i="20"/>
  <c r="H22" i="20"/>
  <c r="G22" i="20"/>
  <c r="F22" i="20"/>
  <c r="E22" i="20"/>
  <c r="D22" i="20"/>
  <c r="AD21" i="20"/>
  <c r="AC21" i="20"/>
  <c r="AB21" i="20"/>
  <c r="Y21" i="20"/>
  <c r="V21" i="20"/>
  <c r="U21" i="20"/>
  <c r="Q21" i="20"/>
  <c r="S21" i="20" s="1"/>
  <c r="P21" i="20"/>
  <c r="X21" i="20" s="1"/>
  <c r="M21" i="20"/>
  <c r="L21" i="20"/>
  <c r="K21" i="20"/>
  <c r="J21" i="20"/>
  <c r="I21" i="20"/>
  <c r="H21" i="20"/>
  <c r="G21" i="20"/>
  <c r="F21" i="20"/>
  <c r="E21" i="20"/>
  <c r="D21" i="20"/>
  <c r="AD20" i="20"/>
  <c r="AC20" i="20"/>
  <c r="AA20" i="20"/>
  <c r="Z20" i="20"/>
  <c r="Y20" i="20"/>
  <c r="W20" i="20"/>
  <c r="V20" i="20"/>
  <c r="U20" i="20"/>
  <c r="S20" i="20"/>
  <c r="Q20" i="20"/>
  <c r="P20" i="20"/>
  <c r="AB20" i="20" s="1"/>
  <c r="M20" i="20"/>
  <c r="L20" i="20"/>
  <c r="K20" i="20"/>
  <c r="J20" i="20"/>
  <c r="I20" i="20"/>
  <c r="H20" i="20"/>
  <c r="G20" i="20"/>
  <c r="F20" i="20"/>
  <c r="E20" i="20"/>
  <c r="D20" i="20"/>
  <c r="AD19" i="20"/>
  <c r="W19" i="20"/>
  <c r="P19" i="20"/>
  <c r="Z19" i="20" s="1"/>
  <c r="M19" i="20"/>
  <c r="L19" i="20"/>
  <c r="K19" i="20"/>
  <c r="J19" i="20"/>
  <c r="I19" i="20"/>
  <c r="H19" i="20"/>
  <c r="G19" i="20"/>
  <c r="F19" i="20"/>
  <c r="E19" i="20"/>
  <c r="D19" i="20"/>
  <c r="AC18" i="20"/>
  <c r="AB18" i="20"/>
  <c r="Y18" i="20"/>
  <c r="W18" i="20"/>
  <c r="U18" i="20"/>
  <c r="S18" i="20"/>
  <c r="Q18" i="20"/>
  <c r="P18" i="20"/>
  <c r="X18" i="20" s="1"/>
  <c r="M18" i="20"/>
  <c r="L18" i="20"/>
  <c r="K18" i="20"/>
  <c r="J18" i="20"/>
  <c r="I18" i="20"/>
  <c r="H18" i="20"/>
  <c r="G18" i="20"/>
  <c r="F18" i="20"/>
  <c r="E18" i="20"/>
  <c r="D18" i="20"/>
  <c r="P17" i="20"/>
  <c r="U17" i="20" s="1"/>
  <c r="M17" i="20"/>
  <c r="L17" i="20"/>
  <c r="K17" i="20"/>
  <c r="J17" i="20"/>
  <c r="I17" i="20"/>
  <c r="H17" i="20"/>
  <c r="G17" i="20"/>
  <c r="F17" i="20"/>
  <c r="E17" i="20"/>
  <c r="D17" i="20"/>
  <c r="AD16" i="20"/>
  <c r="AC16" i="20"/>
  <c r="AB16" i="20"/>
  <c r="AA16" i="20"/>
  <c r="Z16" i="20"/>
  <c r="Y16" i="20"/>
  <c r="W16" i="20"/>
  <c r="V16" i="20"/>
  <c r="U16" i="20"/>
  <c r="Q16" i="20"/>
  <c r="S16" i="20" s="1"/>
  <c r="P16" i="20"/>
  <c r="X16" i="20" s="1"/>
  <c r="M16" i="20"/>
  <c r="L16" i="20"/>
  <c r="K16" i="20"/>
  <c r="J16" i="20"/>
  <c r="I16" i="20"/>
  <c r="H16" i="20"/>
  <c r="G16" i="20"/>
  <c r="F16" i="20"/>
  <c r="E16" i="20"/>
  <c r="D16" i="20"/>
  <c r="AD15" i="20"/>
  <c r="AB15" i="20"/>
  <c r="Z15" i="20"/>
  <c r="X15" i="20"/>
  <c r="W15" i="20"/>
  <c r="V15" i="20"/>
  <c r="P15" i="20"/>
  <c r="M15" i="20"/>
  <c r="L15" i="20"/>
  <c r="K15" i="20"/>
  <c r="J15" i="20"/>
  <c r="I15" i="20"/>
  <c r="H15" i="20"/>
  <c r="G15" i="20"/>
  <c r="F15" i="20"/>
  <c r="E15" i="20"/>
  <c r="D15" i="20"/>
  <c r="AC14" i="20"/>
  <c r="AB14" i="20"/>
  <c r="X14" i="20"/>
  <c r="U14" i="20"/>
  <c r="Q14" i="20"/>
  <c r="S14" i="20" s="1"/>
  <c r="P14" i="20"/>
  <c r="Y14" i="20" s="1"/>
  <c r="M14" i="20"/>
  <c r="L14" i="20"/>
  <c r="K14" i="20"/>
  <c r="J14" i="20"/>
  <c r="I14" i="20"/>
  <c r="H14" i="20"/>
  <c r="G14" i="20"/>
  <c r="F14" i="20"/>
  <c r="E14" i="20"/>
  <c r="D14" i="20"/>
  <c r="AC13" i="20"/>
  <c r="Y13" i="20"/>
  <c r="U13" i="20"/>
  <c r="P13" i="20"/>
  <c r="M13" i="20"/>
  <c r="L13" i="20"/>
  <c r="K13" i="20"/>
  <c r="J13" i="20"/>
  <c r="I13" i="20"/>
  <c r="H13" i="20"/>
  <c r="G13" i="20"/>
  <c r="F13" i="20"/>
  <c r="E13" i="20"/>
  <c r="D13" i="20"/>
  <c r="AD12" i="20"/>
  <c r="AC12" i="20"/>
  <c r="AA12" i="20"/>
  <c r="Z12" i="20"/>
  <c r="Y12" i="20"/>
  <c r="W12" i="20"/>
  <c r="V12" i="20"/>
  <c r="U12" i="20"/>
  <c r="S12" i="20"/>
  <c r="Q12" i="20"/>
  <c r="P12" i="20"/>
  <c r="AB12" i="20" s="1"/>
  <c r="M12" i="20"/>
  <c r="L12" i="20"/>
  <c r="K12" i="20"/>
  <c r="J12" i="20"/>
  <c r="I12" i="20"/>
  <c r="H12" i="20"/>
  <c r="G12" i="20"/>
  <c r="F12" i="20"/>
  <c r="E12" i="20"/>
  <c r="D12" i="20"/>
  <c r="AD11" i="20"/>
  <c r="AB11" i="20"/>
  <c r="Z11" i="20"/>
  <c r="W11" i="20"/>
  <c r="V11" i="20"/>
  <c r="P11" i="20"/>
  <c r="X11" i="20" s="1"/>
  <c r="M11" i="20"/>
  <c r="L11" i="20"/>
  <c r="K11" i="20"/>
  <c r="J11" i="20"/>
  <c r="I11" i="20"/>
  <c r="H11" i="20"/>
  <c r="G11" i="20"/>
  <c r="F11" i="20"/>
  <c r="E11" i="20"/>
  <c r="D11" i="20"/>
  <c r="AC10" i="20"/>
  <c r="AA10" i="20"/>
  <c r="Y10" i="20"/>
  <c r="U10" i="20"/>
  <c r="P10" i="20"/>
  <c r="M10" i="20"/>
  <c r="L10" i="20"/>
  <c r="K10" i="20"/>
  <c r="J10" i="20"/>
  <c r="I10" i="20"/>
  <c r="H10" i="20"/>
  <c r="G10" i="20"/>
  <c r="F10" i="20"/>
  <c r="E10" i="20"/>
  <c r="D10" i="20"/>
  <c r="AC9" i="20"/>
  <c r="V9" i="20"/>
  <c r="P9" i="20"/>
  <c r="Y9" i="20" s="1"/>
  <c r="M9" i="20"/>
  <c r="L9" i="20"/>
  <c r="K9" i="20"/>
  <c r="J9" i="20"/>
  <c r="I9" i="20"/>
  <c r="H9" i="20"/>
  <c r="G9" i="20"/>
  <c r="F9" i="20"/>
  <c r="E9" i="20"/>
  <c r="D9" i="20"/>
  <c r="AD8" i="20"/>
  <c r="AC8" i="20"/>
  <c r="AB8" i="20"/>
  <c r="AA8" i="20"/>
  <c r="Z8" i="20"/>
  <c r="Y8" i="20"/>
  <c r="W8" i="20"/>
  <c r="V8" i="20"/>
  <c r="U8" i="20"/>
  <c r="T8" i="20" s="1"/>
  <c r="R8" i="20" s="1"/>
  <c r="Q8" i="20"/>
  <c r="S8" i="20" s="1"/>
  <c r="P8" i="20"/>
  <c r="X8" i="20" s="1"/>
  <c r="M8" i="20"/>
  <c r="L8" i="20"/>
  <c r="K8" i="20"/>
  <c r="J8" i="20"/>
  <c r="I8" i="20"/>
  <c r="H8" i="20"/>
  <c r="G8" i="20"/>
  <c r="F8" i="20"/>
  <c r="E8" i="20"/>
  <c r="D8" i="20"/>
  <c r="AD7" i="20"/>
  <c r="AB7" i="20"/>
  <c r="X7" i="20"/>
  <c r="V7" i="20"/>
  <c r="P7" i="20"/>
  <c r="Z7" i="20" s="1"/>
  <c r="M7" i="20"/>
  <c r="L7" i="20"/>
  <c r="K7" i="20"/>
  <c r="J7" i="20"/>
  <c r="I7" i="20"/>
  <c r="H7" i="20"/>
  <c r="G7" i="20"/>
  <c r="F7" i="20"/>
  <c r="E7" i="20"/>
  <c r="D7" i="20"/>
  <c r="AB6" i="20"/>
  <c r="Y6" i="20"/>
  <c r="X6" i="20"/>
  <c r="W6" i="20"/>
  <c r="Q6" i="20"/>
  <c r="S6" i="20" s="1"/>
  <c r="P6" i="20"/>
  <c r="M6" i="20"/>
  <c r="L6" i="20"/>
  <c r="K6" i="20"/>
  <c r="J6" i="20"/>
  <c r="I6" i="20"/>
  <c r="H6" i="20"/>
  <c r="G6" i="20"/>
  <c r="F6" i="20"/>
  <c r="E6" i="20"/>
  <c r="D6" i="20"/>
  <c r="AD5" i="20"/>
  <c r="AC5" i="20"/>
  <c r="AB5" i="20"/>
  <c r="Y5" i="20"/>
  <c r="X5" i="20"/>
  <c r="V5" i="20"/>
  <c r="U5" i="20"/>
  <c r="Q5" i="20"/>
  <c r="S5" i="20" s="1"/>
  <c r="P5" i="20"/>
  <c r="M5" i="20"/>
  <c r="L5" i="20"/>
  <c r="K5" i="20"/>
  <c r="J5" i="20"/>
  <c r="I5" i="20"/>
  <c r="H5" i="20"/>
  <c r="G5" i="20"/>
  <c r="F5" i="20"/>
  <c r="E5" i="20"/>
  <c r="D5" i="20"/>
  <c r="AD4" i="20"/>
  <c r="AC4" i="20"/>
  <c r="AB4" i="20"/>
  <c r="AA4" i="20"/>
  <c r="Z4" i="20"/>
  <c r="Y4" i="20"/>
  <c r="W4" i="20"/>
  <c r="V4" i="20"/>
  <c r="U4" i="20"/>
  <c r="S4" i="20"/>
  <c r="Q4" i="20"/>
  <c r="P4" i="20"/>
  <c r="X4" i="20" s="1"/>
  <c r="M4" i="20"/>
  <c r="L4" i="20"/>
  <c r="K4" i="20"/>
  <c r="J4" i="20"/>
  <c r="I4" i="20"/>
  <c r="H4" i="20"/>
  <c r="G4" i="20"/>
  <c r="F4" i="20"/>
  <c r="E4" i="20"/>
  <c r="D4" i="20"/>
  <c r="AD3" i="20"/>
  <c r="AC3" i="20"/>
  <c r="AB3" i="20"/>
  <c r="AA3" i="20"/>
  <c r="X3" i="20"/>
  <c r="V3" i="20"/>
  <c r="U3" i="20"/>
  <c r="P3" i="20"/>
  <c r="W3" i="20" s="1"/>
  <c r="M3" i="20"/>
  <c r="L3" i="20"/>
  <c r="K3" i="20"/>
  <c r="J3" i="20"/>
  <c r="I3" i="20"/>
  <c r="H3" i="20"/>
  <c r="G3" i="20"/>
  <c r="F3" i="20"/>
  <c r="E3" i="20"/>
  <c r="D3" i="20"/>
  <c r="B41" i="34" l="1"/>
  <c r="D40" i="34"/>
  <c r="AE16" i="28" a="1"/>
  <c r="AE16" i="28" s="1"/>
  <c r="B32" i="7"/>
  <c r="AC17" i="28"/>
  <c r="AD17" i="28" s="1"/>
  <c r="B18" i="28"/>
  <c r="E17" i="28"/>
  <c r="A17" i="28"/>
  <c r="C16" i="28"/>
  <c r="C31" i="7" s="1"/>
  <c r="A31" i="7"/>
  <c r="Z17" i="20"/>
  <c r="AC43" i="20"/>
  <c r="U43" i="20"/>
  <c r="Z43" i="20"/>
  <c r="Y43" i="20"/>
  <c r="Q43" i="20"/>
  <c r="S43" i="20" s="1"/>
  <c r="T4" i="20"/>
  <c r="R4" i="20" s="1"/>
  <c r="X9" i="20"/>
  <c r="AD10" i="20"/>
  <c r="V10" i="20"/>
  <c r="Z10" i="20"/>
  <c r="AA13" i="20"/>
  <c r="W13" i="20"/>
  <c r="Z13" i="20"/>
  <c r="Q17" i="20"/>
  <c r="S17" i="20" s="1"/>
  <c r="AB17" i="20"/>
  <c r="X19" i="20"/>
  <c r="Y23" i="20"/>
  <c r="Q23" i="20"/>
  <c r="S23" i="20" s="1"/>
  <c r="AC23" i="20"/>
  <c r="U23" i="20"/>
  <c r="AA23" i="20"/>
  <c r="U25" i="20"/>
  <c r="X26" i="20"/>
  <c r="AB27" i="20"/>
  <c r="X29" i="20"/>
  <c r="Z30" i="20"/>
  <c r="AD30" i="20"/>
  <c r="V30" i="20"/>
  <c r="T30" i="20" s="1"/>
  <c r="R30" i="20" s="1"/>
  <c r="AA30" i="20"/>
  <c r="Q34" i="20"/>
  <c r="S34" i="20" s="1"/>
  <c r="AB34" i="20"/>
  <c r="V35" i="20"/>
  <c r="Q37" i="20"/>
  <c r="S37" i="20" s="1"/>
  <c r="AB37" i="20"/>
  <c r="X39" i="20"/>
  <c r="W42" i="20"/>
  <c r="AA27" i="20"/>
  <c r="Z6" i="20"/>
  <c r="AD6" i="20"/>
  <c r="V6" i="20"/>
  <c r="AA6" i="20"/>
  <c r="Q10" i="20"/>
  <c r="S10" i="20" s="1"/>
  <c r="AB10" i="20"/>
  <c r="Q13" i="20"/>
  <c r="S13" i="20" s="1"/>
  <c r="AB13" i="20"/>
  <c r="AC17" i="20"/>
  <c r="AB23" i="20"/>
  <c r="T24" i="20"/>
  <c r="R24" i="20" s="1"/>
  <c r="V25" i="20"/>
  <c r="AD27" i="20"/>
  <c r="Q30" i="20"/>
  <c r="S30" i="20" s="1"/>
  <c r="AB30" i="20"/>
  <c r="W33" i="20"/>
  <c r="AA33" i="20"/>
  <c r="Z33" i="20"/>
  <c r="W35" i="20"/>
  <c r="AC37" i="20"/>
  <c r="AD41" i="20"/>
  <c r="X42" i="20"/>
  <c r="AD34" i="20"/>
  <c r="V34" i="20"/>
  <c r="Z34" i="20"/>
  <c r="W9" i="20"/>
  <c r="AA9" i="20"/>
  <c r="Z9" i="20"/>
  <c r="AD17" i="20"/>
  <c r="AC19" i="20"/>
  <c r="U19" i="20"/>
  <c r="T19" i="20" s="1"/>
  <c r="R19" i="20" s="1"/>
  <c r="Y19" i="20"/>
  <c r="Q19" i="20"/>
  <c r="S19" i="20" s="1"/>
  <c r="AA19" i="20"/>
  <c r="X25" i="20"/>
  <c r="AD26" i="20"/>
  <c r="V26" i="20"/>
  <c r="Z26" i="20"/>
  <c r="AA26" i="20"/>
  <c r="AA29" i="20"/>
  <c r="W29" i="20"/>
  <c r="Z29" i="20"/>
  <c r="X35" i="20"/>
  <c r="AD37" i="20"/>
  <c r="Y39" i="20"/>
  <c r="Q39" i="20"/>
  <c r="S39" i="20" s="1"/>
  <c r="AC39" i="20"/>
  <c r="U39" i="20"/>
  <c r="AA39" i="20"/>
  <c r="Y42" i="20"/>
  <c r="V43" i="20"/>
  <c r="AA34" i="20"/>
  <c r="AD43" i="20"/>
  <c r="AA5" i="20"/>
  <c r="W5" i="20"/>
  <c r="T5" i="20" s="1"/>
  <c r="R5" i="20" s="1"/>
  <c r="Z5" i="20"/>
  <c r="AC6" i="20"/>
  <c r="W7" i="20"/>
  <c r="Q9" i="20"/>
  <c r="S9" i="20" s="1"/>
  <c r="AB9" i="20"/>
  <c r="AD13" i="20"/>
  <c r="W14" i="20"/>
  <c r="Y15" i="20"/>
  <c r="Q15" i="20"/>
  <c r="S15" i="20" s="1"/>
  <c r="AC15" i="20"/>
  <c r="U15" i="20"/>
  <c r="AA15" i="20"/>
  <c r="AB19" i="20"/>
  <c r="Z22" i="20"/>
  <c r="T22" i="20" s="1"/>
  <c r="R22" i="20" s="1"/>
  <c r="AD22" i="20"/>
  <c r="V22" i="20"/>
  <c r="AA22" i="20"/>
  <c r="Y25" i="20"/>
  <c r="Q26" i="20"/>
  <c r="S26" i="20" s="1"/>
  <c r="AB26" i="20"/>
  <c r="Q29" i="20"/>
  <c r="S29" i="20" s="1"/>
  <c r="AB29" i="20"/>
  <c r="AC33" i="20"/>
  <c r="U34" i="20"/>
  <c r="U37" i="20"/>
  <c r="AB39" i="20"/>
  <c r="T40" i="20"/>
  <c r="R40" i="20" s="1"/>
  <c r="V41" i="20"/>
  <c r="T41" i="20" s="1"/>
  <c r="R41" i="20" s="1"/>
  <c r="W43" i="20"/>
  <c r="W17" i="20"/>
  <c r="AA17" i="20"/>
  <c r="AC27" i="20"/>
  <c r="U27" i="20"/>
  <c r="Y27" i="20"/>
  <c r="Q27" i="20"/>
  <c r="S27" i="20" s="1"/>
  <c r="W27" i="20"/>
  <c r="W34" i="20"/>
  <c r="AC35" i="20"/>
  <c r="U35" i="20"/>
  <c r="Y35" i="20"/>
  <c r="Q35" i="20"/>
  <c r="S35" i="20" s="1"/>
  <c r="AA35" i="20"/>
  <c r="AD42" i="20"/>
  <c r="V42" i="20"/>
  <c r="T42" i="20" s="1"/>
  <c r="R42" i="20" s="1"/>
  <c r="AA42" i="20"/>
  <c r="Z42" i="20"/>
  <c r="AC42" i="20"/>
  <c r="X43" i="20"/>
  <c r="AA37" i="20"/>
  <c r="W37" i="20"/>
  <c r="T16" i="20"/>
  <c r="R16" i="20" s="1"/>
  <c r="V17" i="20"/>
  <c r="T17" i="20" s="1"/>
  <c r="R17" i="20" s="1"/>
  <c r="W25" i="20"/>
  <c r="AA25" i="20"/>
  <c r="Y3" i="20"/>
  <c r="T3" i="20" s="1"/>
  <c r="R3" i="20" s="1"/>
  <c r="Q3" i="20"/>
  <c r="S3" i="20" s="1"/>
  <c r="Z3" i="20"/>
  <c r="U6" i="20"/>
  <c r="T6" i="20" s="1"/>
  <c r="R6" i="20" s="1"/>
  <c r="AD9" i="20"/>
  <c r="W10" i="20"/>
  <c r="T10" i="20" s="1"/>
  <c r="R10" i="20" s="1"/>
  <c r="AC11" i="20"/>
  <c r="U11" i="20"/>
  <c r="Y11" i="20"/>
  <c r="Q11" i="20"/>
  <c r="S11" i="20" s="1"/>
  <c r="AA11" i="20"/>
  <c r="V13" i="20"/>
  <c r="T13" i="20" s="1"/>
  <c r="R13" i="20" s="1"/>
  <c r="X17" i="20"/>
  <c r="AD18" i="20"/>
  <c r="V18" i="20"/>
  <c r="T18" i="20" s="1"/>
  <c r="R18" i="20" s="1"/>
  <c r="Z18" i="20"/>
  <c r="AA18" i="20"/>
  <c r="AA21" i="20"/>
  <c r="W21" i="20"/>
  <c r="Z21" i="20"/>
  <c r="T21" i="20" s="1"/>
  <c r="R21" i="20" s="1"/>
  <c r="W23" i="20"/>
  <c r="Q25" i="20"/>
  <c r="S25" i="20" s="1"/>
  <c r="AB25" i="20"/>
  <c r="X27" i="20"/>
  <c r="AD29" i="20"/>
  <c r="W30" i="20"/>
  <c r="Y31" i="20"/>
  <c r="Q31" i="20"/>
  <c r="S31" i="20" s="1"/>
  <c r="AC31" i="20"/>
  <c r="U31" i="20"/>
  <c r="AA31" i="20"/>
  <c r="U33" i="20"/>
  <c r="X34" i="20"/>
  <c r="AB35" i="20"/>
  <c r="X37" i="20"/>
  <c r="Z38" i="20"/>
  <c r="AD38" i="20"/>
  <c r="V38" i="20"/>
  <c r="T38" i="20" s="1"/>
  <c r="R38" i="20" s="1"/>
  <c r="AA38" i="20"/>
  <c r="Q42" i="20"/>
  <c r="S42" i="20" s="1"/>
  <c r="AA43" i="20"/>
  <c r="Y7" i="20"/>
  <c r="Q7" i="20"/>
  <c r="S7" i="20" s="1"/>
  <c r="AC7" i="20"/>
  <c r="U7" i="20"/>
  <c r="AA7" i="20"/>
  <c r="U9" i="20"/>
  <c r="X10" i="20"/>
  <c r="T12" i="20"/>
  <c r="R12" i="20" s="1"/>
  <c r="X13" i="20"/>
  <c r="Z14" i="20"/>
  <c r="AD14" i="20"/>
  <c r="V14" i="20"/>
  <c r="T14" i="20" s="1"/>
  <c r="R14" i="20" s="1"/>
  <c r="AA14" i="20"/>
  <c r="Y17" i="20"/>
  <c r="V19" i="20"/>
  <c r="X23" i="20"/>
  <c r="AC25" i="20"/>
  <c r="U26" i="20"/>
  <c r="T26" i="20" s="1"/>
  <c r="R26" i="20" s="1"/>
  <c r="Z27" i="20"/>
  <c r="U29" i="20"/>
  <c r="T29" i="20" s="1"/>
  <c r="R29" i="20" s="1"/>
  <c r="X30" i="20"/>
  <c r="T32" i="20"/>
  <c r="R32" i="20" s="1"/>
  <c r="Y34" i="20"/>
  <c r="AD35" i="20"/>
  <c r="Y37" i="20"/>
  <c r="V39" i="20"/>
  <c r="W41" i="20"/>
  <c r="AA41" i="20"/>
  <c r="Z41" i="20"/>
  <c r="AB43" i="20"/>
  <c r="X12" i="20"/>
  <c r="X20" i="20"/>
  <c r="T20" i="20" s="1"/>
  <c r="R20" i="20" s="1"/>
  <c r="X28" i="20"/>
  <c r="T28" i="20" s="1"/>
  <c r="R28" i="20" s="1"/>
  <c r="X36" i="20"/>
  <c r="T36" i="20" s="1"/>
  <c r="R36" i="20" s="1"/>
  <c r="Y44" i="20"/>
  <c r="Y45" i="20"/>
  <c r="Y46" i="20"/>
  <c r="Y47" i="20"/>
  <c r="Y48" i="20"/>
  <c r="Y49" i="20"/>
  <c r="Y50" i="20"/>
  <c r="Y51" i="20"/>
  <c r="Y52" i="20"/>
  <c r="Y53" i="20"/>
  <c r="Y54" i="20"/>
  <c r="Y55" i="20"/>
  <c r="Y56" i="20"/>
  <c r="Y57" i="20"/>
  <c r="Y58" i="20"/>
  <c r="Y59" i="20"/>
  <c r="Y60" i="20"/>
  <c r="Y61" i="20"/>
  <c r="Y62" i="20"/>
  <c r="Y63" i="20"/>
  <c r="Y64" i="20"/>
  <c r="Y65" i="20"/>
  <c r="Y66" i="20"/>
  <c r="Y67" i="20"/>
  <c r="Y68" i="20"/>
  <c r="Y69" i="20"/>
  <c r="Y70" i="20"/>
  <c r="Y71" i="20"/>
  <c r="Y72" i="20"/>
  <c r="Y73" i="20"/>
  <c r="AD74" i="20"/>
  <c r="V74" i="20"/>
  <c r="Z74" i="20"/>
  <c r="AB74" i="20"/>
  <c r="AD76" i="20"/>
  <c r="V76" i="20"/>
  <c r="Z76" i="20"/>
  <c r="AB76" i="20"/>
  <c r="AD78" i="20"/>
  <c r="V78" i="20"/>
  <c r="Z78" i="20"/>
  <c r="AB78" i="20"/>
  <c r="AD80" i="20"/>
  <c r="V80" i="20"/>
  <c r="Z80" i="20"/>
  <c r="AB80" i="20"/>
  <c r="AD82" i="20"/>
  <c r="V82" i="20"/>
  <c r="Z82" i="20"/>
  <c r="AB82" i="20"/>
  <c r="AD84" i="20"/>
  <c r="V84" i="20"/>
  <c r="Z84" i="20"/>
  <c r="AB84" i="20"/>
  <c r="AD86" i="20"/>
  <c r="V86" i="20"/>
  <c r="Z86" i="20"/>
  <c r="AB86" i="20"/>
  <c r="AD88" i="20"/>
  <c r="V88" i="20"/>
  <c r="Z88" i="20"/>
  <c r="AB88" i="20"/>
  <c r="AD90" i="20"/>
  <c r="V90" i="20"/>
  <c r="Z90" i="20"/>
  <c r="AB90" i="20"/>
  <c r="AD92" i="20"/>
  <c r="V92" i="20"/>
  <c r="Z92" i="20"/>
  <c r="AB92" i="20"/>
  <c r="AD94" i="20"/>
  <c r="V94" i="20"/>
  <c r="Z94" i="20"/>
  <c r="AB94" i="20"/>
  <c r="AD96" i="20"/>
  <c r="V96" i="20"/>
  <c r="Z96" i="20"/>
  <c r="AB96" i="20"/>
  <c r="AD98" i="20"/>
  <c r="V98" i="20"/>
  <c r="Z98" i="20"/>
  <c r="AB98" i="20"/>
  <c r="AD100" i="20"/>
  <c r="V100" i="20"/>
  <c r="T100" i="20" s="1"/>
  <c r="R100" i="20" s="1"/>
  <c r="Z100" i="20"/>
  <c r="AB100" i="20"/>
  <c r="AD102" i="20"/>
  <c r="V102" i="20"/>
  <c r="T102" i="20" s="1"/>
  <c r="R102" i="20" s="1"/>
  <c r="Z102" i="20"/>
  <c r="AB102" i="20"/>
  <c r="AD104" i="20"/>
  <c r="V104" i="20"/>
  <c r="X104" i="20"/>
  <c r="AB104" i="20"/>
  <c r="AA104" i="20"/>
  <c r="Y110" i="20"/>
  <c r="AD106" i="20"/>
  <c r="V106" i="20"/>
  <c r="AB106" i="20"/>
  <c r="X106" i="20"/>
  <c r="AA106" i="20"/>
  <c r="AD108" i="20"/>
  <c r="V108" i="20"/>
  <c r="X108" i="20"/>
  <c r="AB108" i="20"/>
  <c r="AA108" i="20"/>
  <c r="AD110" i="20"/>
  <c r="V110" i="20"/>
  <c r="AB110" i="20"/>
  <c r="X110" i="20"/>
  <c r="AA110" i="20"/>
  <c r="AD112" i="20"/>
  <c r="V112" i="20"/>
  <c r="AA112" i="20"/>
  <c r="X112" i="20"/>
  <c r="AC112" i="20"/>
  <c r="AB112" i="20"/>
  <c r="U44" i="20"/>
  <c r="T44" i="20" s="1"/>
  <c r="R44" i="20" s="1"/>
  <c r="U45" i="20"/>
  <c r="T45" i="20" s="1"/>
  <c r="R45" i="20" s="1"/>
  <c r="U46" i="20"/>
  <c r="T46" i="20" s="1"/>
  <c r="R46" i="20" s="1"/>
  <c r="U47" i="20"/>
  <c r="T47" i="20" s="1"/>
  <c r="R47" i="20" s="1"/>
  <c r="U48" i="20"/>
  <c r="T48" i="20" s="1"/>
  <c r="R48" i="20" s="1"/>
  <c r="U49" i="20"/>
  <c r="T49" i="20" s="1"/>
  <c r="R49" i="20" s="1"/>
  <c r="U50" i="20"/>
  <c r="T50" i="20" s="1"/>
  <c r="R50" i="20" s="1"/>
  <c r="U51" i="20"/>
  <c r="T51" i="20" s="1"/>
  <c r="R51" i="20" s="1"/>
  <c r="U52" i="20"/>
  <c r="T52" i="20" s="1"/>
  <c r="R52" i="20" s="1"/>
  <c r="U53" i="20"/>
  <c r="T53" i="20" s="1"/>
  <c r="R53" i="20" s="1"/>
  <c r="U54" i="20"/>
  <c r="T54" i="20" s="1"/>
  <c r="R54" i="20" s="1"/>
  <c r="U55" i="20"/>
  <c r="T55" i="20" s="1"/>
  <c r="R55" i="20" s="1"/>
  <c r="U56" i="20"/>
  <c r="T56" i="20" s="1"/>
  <c r="R56" i="20" s="1"/>
  <c r="U57" i="20"/>
  <c r="T57" i="20" s="1"/>
  <c r="R57" i="20" s="1"/>
  <c r="U58" i="20"/>
  <c r="T58" i="20" s="1"/>
  <c r="R58" i="20" s="1"/>
  <c r="U59" i="20"/>
  <c r="T59" i="20" s="1"/>
  <c r="R59" i="20" s="1"/>
  <c r="U60" i="20"/>
  <c r="T60" i="20" s="1"/>
  <c r="R60" i="20" s="1"/>
  <c r="U61" i="20"/>
  <c r="T61" i="20" s="1"/>
  <c r="R61" i="20" s="1"/>
  <c r="U62" i="20"/>
  <c r="T62" i="20" s="1"/>
  <c r="R62" i="20" s="1"/>
  <c r="U63" i="20"/>
  <c r="T63" i="20" s="1"/>
  <c r="R63" i="20" s="1"/>
  <c r="U64" i="20"/>
  <c r="T64" i="20" s="1"/>
  <c r="R64" i="20" s="1"/>
  <c r="U65" i="20"/>
  <c r="T65" i="20" s="1"/>
  <c r="R65" i="20" s="1"/>
  <c r="U66" i="20"/>
  <c r="T66" i="20" s="1"/>
  <c r="R66" i="20" s="1"/>
  <c r="U67" i="20"/>
  <c r="T67" i="20" s="1"/>
  <c r="R67" i="20" s="1"/>
  <c r="U68" i="20"/>
  <c r="T68" i="20" s="1"/>
  <c r="R68" i="20" s="1"/>
  <c r="U69" i="20"/>
  <c r="T69" i="20" s="1"/>
  <c r="R69" i="20" s="1"/>
  <c r="U70" i="20"/>
  <c r="T70" i="20" s="1"/>
  <c r="R70" i="20" s="1"/>
  <c r="U71" i="20"/>
  <c r="T71" i="20" s="1"/>
  <c r="R71" i="20" s="1"/>
  <c r="U72" i="20"/>
  <c r="T72" i="20" s="1"/>
  <c r="R72" i="20" s="1"/>
  <c r="U73" i="20"/>
  <c r="T73" i="20" s="1"/>
  <c r="R73" i="20" s="1"/>
  <c r="W74" i="20"/>
  <c r="AD75" i="20"/>
  <c r="V75" i="20"/>
  <c r="Z75" i="20"/>
  <c r="AB75" i="20"/>
  <c r="W76" i="20"/>
  <c r="AD77" i="20"/>
  <c r="V77" i="20"/>
  <c r="Z77" i="20"/>
  <c r="AB77" i="20"/>
  <c r="W78" i="20"/>
  <c r="AD79" i="20"/>
  <c r="V79" i="20"/>
  <c r="T79" i="20" s="1"/>
  <c r="R79" i="20" s="1"/>
  <c r="Z79" i="20"/>
  <c r="AB79" i="20"/>
  <c r="W80" i="20"/>
  <c r="AD81" i="20"/>
  <c r="V81" i="20"/>
  <c r="Z81" i="20"/>
  <c r="AB81" i="20"/>
  <c r="W82" i="20"/>
  <c r="AD83" i="20"/>
  <c r="V83" i="20"/>
  <c r="Z83" i="20"/>
  <c r="AB83" i="20"/>
  <c r="W84" i="20"/>
  <c r="AD85" i="20"/>
  <c r="V85" i="20"/>
  <c r="Z85" i="20"/>
  <c r="AB85" i="20"/>
  <c r="W86" i="20"/>
  <c r="AD87" i="20"/>
  <c r="V87" i="20"/>
  <c r="Z87" i="20"/>
  <c r="AB87" i="20"/>
  <c r="W88" i="20"/>
  <c r="AD89" i="20"/>
  <c r="V89" i="20"/>
  <c r="Z89" i="20"/>
  <c r="AB89" i="20"/>
  <c r="W90" i="20"/>
  <c r="AD91" i="20"/>
  <c r="V91" i="20"/>
  <c r="Z91" i="20"/>
  <c r="AB91" i="20"/>
  <c r="W92" i="20"/>
  <c r="AD93" i="20"/>
  <c r="V93" i="20"/>
  <c r="Z93" i="20"/>
  <c r="AB93" i="20"/>
  <c r="W94" i="20"/>
  <c r="AD95" i="20"/>
  <c r="V95" i="20"/>
  <c r="T95" i="20" s="1"/>
  <c r="R95" i="20" s="1"/>
  <c r="Z95" i="20"/>
  <c r="AB95" i="20"/>
  <c r="W96" i="20"/>
  <c r="AD97" i="20"/>
  <c r="V97" i="20"/>
  <c r="Z97" i="20"/>
  <c r="AB97" i="20"/>
  <c r="W98" i="20"/>
  <c r="AD99" i="20"/>
  <c r="V99" i="20"/>
  <c r="Z99" i="20"/>
  <c r="AB99" i="20"/>
  <c r="W100" i="20"/>
  <c r="AD101" i="20"/>
  <c r="V101" i="20"/>
  <c r="Z101" i="20"/>
  <c r="AB101" i="20"/>
  <c r="W102" i="20"/>
  <c r="AD103" i="20"/>
  <c r="V103" i="20"/>
  <c r="T103" i="20" s="1"/>
  <c r="R103" i="20" s="1"/>
  <c r="Z103" i="20"/>
  <c r="AB103" i="20"/>
  <c r="U104" i="20"/>
  <c r="T104" i="20" s="1"/>
  <c r="R104" i="20" s="1"/>
  <c r="U106" i="20"/>
  <c r="U108" i="20"/>
  <c r="U112" i="20"/>
  <c r="W106" i="20"/>
  <c r="W108" i="20"/>
  <c r="U110" i="20"/>
  <c r="T110" i="20" s="1"/>
  <c r="R110" i="20" s="1"/>
  <c r="W112" i="20"/>
  <c r="Y106" i="20"/>
  <c r="Y108" i="20"/>
  <c r="W110" i="20"/>
  <c r="Y112" i="20"/>
  <c r="AD114" i="20"/>
  <c r="V114" i="20"/>
  <c r="T114" i="20" s="1"/>
  <c r="R114" i="20" s="1"/>
  <c r="W114" i="20"/>
  <c r="AB114" i="20"/>
  <c r="AA114" i="20"/>
  <c r="Y114" i="20"/>
  <c r="X114" i="20"/>
  <c r="AD107" i="20"/>
  <c r="V107" i="20"/>
  <c r="Z107" i="20"/>
  <c r="AD111" i="20"/>
  <c r="V111" i="20"/>
  <c r="Z111" i="20"/>
  <c r="AD115" i="20"/>
  <c r="V115" i="20"/>
  <c r="Z115" i="20"/>
  <c r="AB116" i="20"/>
  <c r="X118" i="20"/>
  <c r="AD119" i="20"/>
  <c r="V119" i="20"/>
  <c r="Z119" i="20"/>
  <c r="AB119" i="20"/>
  <c r="AD121" i="20"/>
  <c r="V121" i="20"/>
  <c r="Z121" i="20"/>
  <c r="AB121" i="20"/>
  <c r="AD123" i="20"/>
  <c r="V123" i="20"/>
  <c r="Z123" i="20"/>
  <c r="AB123" i="20"/>
  <c r="AD125" i="20"/>
  <c r="V125" i="20"/>
  <c r="Z125" i="20"/>
  <c r="AB125" i="20"/>
  <c r="AD127" i="20"/>
  <c r="V127" i="20"/>
  <c r="AA127" i="20"/>
  <c r="Z127" i="20"/>
  <c r="AC127" i="20"/>
  <c r="AC138" i="20"/>
  <c r="U138" i="20"/>
  <c r="AA138" i="20"/>
  <c r="AB138" i="20"/>
  <c r="X138" i="20"/>
  <c r="W138" i="20"/>
  <c r="AD138" i="20"/>
  <c r="W142" i="20"/>
  <c r="W146" i="20"/>
  <c r="AD150" i="20"/>
  <c r="V150" i="20"/>
  <c r="AC150" i="20"/>
  <c r="U150" i="20"/>
  <c r="AA150" i="20"/>
  <c r="Z150" i="20"/>
  <c r="Y150" i="20"/>
  <c r="X150" i="20"/>
  <c r="AC116" i="20"/>
  <c r="AD130" i="20"/>
  <c r="V130" i="20"/>
  <c r="AA130" i="20"/>
  <c r="Z130" i="20"/>
  <c r="AC130" i="20"/>
  <c r="AC133" i="20"/>
  <c r="U133" i="20"/>
  <c r="AA133" i="20"/>
  <c r="Y133" i="20"/>
  <c r="X133" i="20"/>
  <c r="V133" i="20"/>
  <c r="AD118" i="20"/>
  <c r="V118" i="20"/>
  <c r="Z118" i="20"/>
  <c r="AC134" i="20"/>
  <c r="U134" i="20"/>
  <c r="AA134" i="20"/>
  <c r="AD134" i="20"/>
  <c r="AB134" i="20"/>
  <c r="Y134" i="20"/>
  <c r="X134" i="20"/>
  <c r="AC135" i="20"/>
  <c r="U135" i="20"/>
  <c r="AA135" i="20"/>
  <c r="W135" i="20"/>
  <c r="V135" i="20"/>
  <c r="AD135" i="20"/>
  <c r="AB135" i="20"/>
  <c r="W116" i="20"/>
  <c r="AA118" i="20"/>
  <c r="AD128" i="20"/>
  <c r="V128" i="20"/>
  <c r="AA128" i="20"/>
  <c r="Z128" i="20"/>
  <c r="AC128" i="20"/>
  <c r="AD105" i="20"/>
  <c r="V105" i="20"/>
  <c r="Z105" i="20"/>
  <c r="U107" i="20"/>
  <c r="T107" i="20" s="1"/>
  <c r="R107" i="20" s="1"/>
  <c r="AD109" i="20"/>
  <c r="V109" i="20"/>
  <c r="Z109" i="20"/>
  <c r="U111" i="20"/>
  <c r="T111" i="20" s="1"/>
  <c r="R111" i="20" s="1"/>
  <c r="AD113" i="20"/>
  <c r="V113" i="20"/>
  <c r="T113" i="20" s="1"/>
  <c r="R113" i="20" s="1"/>
  <c r="Z113" i="20"/>
  <c r="U115" i="20"/>
  <c r="AD117" i="20"/>
  <c r="V117" i="20"/>
  <c r="Z117" i="20"/>
  <c r="AB118" i="20"/>
  <c r="W119" i="20"/>
  <c r="AD120" i="20"/>
  <c r="V120" i="20"/>
  <c r="Z120" i="20"/>
  <c r="AB120" i="20"/>
  <c r="W121" i="20"/>
  <c r="AD122" i="20"/>
  <c r="V122" i="20"/>
  <c r="Z122" i="20"/>
  <c r="AB122" i="20"/>
  <c r="W123" i="20"/>
  <c r="AD124" i="20"/>
  <c r="V124" i="20"/>
  <c r="Z124" i="20"/>
  <c r="AB124" i="20"/>
  <c r="W125" i="20"/>
  <c r="AD126" i="20"/>
  <c r="V126" i="20"/>
  <c r="T126" i="20" s="1"/>
  <c r="R126" i="20" s="1"/>
  <c r="Z126" i="20"/>
  <c r="AB126" i="20"/>
  <c r="W127" i="20"/>
  <c r="U130" i="20"/>
  <c r="AD131" i="20"/>
  <c r="V131" i="20"/>
  <c r="AA131" i="20"/>
  <c r="Z131" i="20"/>
  <c r="AC131" i="20"/>
  <c r="X132" i="20"/>
  <c r="W133" i="20"/>
  <c r="Y138" i="20"/>
  <c r="AC118" i="20"/>
  <c r="AD146" i="20"/>
  <c r="V146" i="20"/>
  <c r="AC146" i="20"/>
  <c r="U146" i="20"/>
  <c r="AA146" i="20"/>
  <c r="X146" i="20"/>
  <c r="Z146" i="20"/>
  <c r="Y146" i="20"/>
  <c r="AD116" i="20"/>
  <c r="V116" i="20"/>
  <c r="T116" i="20" s="1"/>
  <c r="R116" i="20" s="1"/>
  <c r="Z116" i="20"/>
  <c r="U118" i="20"/>
  <c r="U128" i="20"/>
  <c r="AD129" i="20"/>
  <c r="V129" i="20"/>
  <c r="T129" i="20" s="1"/>
  <c r="R129" i="20" s="1"/>
  <c r="AA129" i="20"/>
  <c r="Z129" i="20"/>
  <c r="AC129" i="20"/>
  <c r="X130" i="20"/>
  <c r="AB133" i="20"/>
  <c r="W134" i="20"/>
  <c r="Y135" i="20"/>
  <c r="AD142" i="20"/>
  <c r="V142" i="20"/>
  <c r="AC142" i="20"/>
  <c r="U142" i="20"/>
  <c r="AA142" i="20"/>
  <c r="Y142" i="20"/>
  <c r="X142" i="20"/>
  <c r="AA116" i="20"/>
  <c r="W118" i="20"/>
  <c r="W128" i="20"/>
  <c r="Y130" i="20"/>
  <c r="AC132" i="20"/>
  <c r="AA132" i="20"/>
  <c r="V132" i="20"/>
  <c r="T132" i="20" s="1"/>
  <c r="R132" i="20" s="1"/>
  <c r="AB132" i="20"/>
  <c r="Z132" i="20"/>
  <c r="AD133" i="20"/>
  <c r="Z134" i="20"/>
  <c r="Z135" i="20"/>
  <c r="W139" i="20"/>
  <c r="AD140" i="20"/>
  <c r="V140" i="20"/>
  <c r="AC140" i="20"/>
  <c r="U140" i="20"/>
  <c r="AA140" i="20"/>
  <c r="AB140" i="20"/>
  <c r="X141" i="20"/>
  <c r="AD148" i="20"/>
  <c r="V148" i="20"/>
  <c r="AC148" i="20"/>
  <c r="U148" i="20"/>
  <c r="AA148" i="20"/>
  <c r="AB148" i="20"/>
  <c r="X149" i="20"/>
  <c r="Y154" i="20"/>
  <c r="AD156" i="20"/>
  <c r="V156" i="20"/>
  <c r="AC156" i="20"/>
  <c r="U156" i="20"/>
  <c r="AA156" i="20"/>
  <c r="AB156" i="20"/>
  <c r="X157" i="20"/>
  <c r="AC137" i="20"/>
  <c r="U137" i="20"/>
  <c r="T137" i="20" s="1"/>
  <c r="R137" i="20" s="1"/>
  <c r="AA137" i="20"/>
  <c r="Z137" i="20"/>
  <c r="AD143" i="20"/>
  <c r="V143" i="20"/>
  <c r="AC143" i="20"/>
  <c r="U143" i="20"/>
  <c r="AA143" i="20"/>
  <c r="AB143" i="20"/>
  <c r="W147" i="20"/>
  <c r="AD151" i="20"/>
  <c r="V151" i="20"/>
  <c r="AC151" i="20"/>
  <c r="U151" i="20"/>
  <c r="AA151" i="20"/>
  <c r="AB151" i="20"/>
  <c r="W155" i="20"/>
  <c r="T158" i="20"/>
  <c r="R158" i="20" s="1"/>
  <c r="AD154" i="20"/>
  <c r="V154" i="20"/>
  <c r="AC154" i="20"/>
  <c r="U154" i="20"/>
  <c r="AA154" i="20"/>
  <c r="AB154" i="20"/>
  <c r="AC139" i="20"/>
  <c r="U139" i="20"/>
  <c r="AA139" i="20"/>
  <c r="Z139" i="20"/>
  <c r="AD141" i="20"/>
  <c r="V141" i="20"/>
  <c r="AC141" i="20"/>
  <c r="U141" i="20"/>
  <c r="AA141" i="20"/>
  <c r="AB141" i="20"/>
  <c r="W145" i="20"/>
  <c r="Y147" i="20"/>
  <c r="AD149" i="20"/>
  <c r="V149" i="20"/>
  <c r="AC149" i="20"/>
  <c r="U149" i="20"/>
  <c r="AA149" i="20"/>
  <c r="AB149" i="20"/>
  <c r="W153" i="20"/>
  <c r="Y155" i="20"/>
  <c r="Y157" i="20"/>
  <c r="V157" i="20"/>
  <c r="AD157" i="20"/>
  <c r="U157" i="20"/>
  <c r="AB157" i="20"/>
  <c r="AC157" i="20"/>
  <c r="AC136" i="20"/>
  <c r="U136" i="20"/>
  <c r="AA136" i="20"/>
  <c r="Z136" i="20"/>
  <c r="AB139" i="20"/>
  <c r="W140" i="20"/>
  <c r="AD144" i="20"/>
  <c r="V144" i="20"/>
  <c r="AC144" i="20"/>
  <c r="U144" i="20"/>
  <c r="AA144" i="20"/>
  <c r="AB144" i="20"/>
  <c r="W148" i="20"/>
  <c r="AD152" i="20"/>
  <c r="V152" i="20"/>
  <c r="AC152" i="20"/>
  <c r="U152" i="20"/>
  <c r="AA152" i="20"/>
  <c r="AB152" i="20"/>
  <c r="W156" i="20"/>
  <c r="T161" i="20"/>
  <c r="R161" i="20" s="1"/>
  <c r="AD147" i="20"/>
  <c r="V147" i="20"/>
  <c r="AC147" i="20"/>
  <c r="U147" i="20"/>
  <c r="AA147" i="20"/>
  <c r="AB147" i="20"/>
  <c r="AD155" i="20"/>
  <c r="V155" i="20"/>
  <c r="AC155" i="20"/>
  <c r="U155" i="20"/>
  <c r="T155" i="20" s="1"/>
  <c r="R155" i="20" s="1"/>
  <c r="AA155" i="20"/>
  <c r="AB155" i="20"/>
  <c r="T163" i="20"/>
  <c r="R163" i="20" s="1"/>
  <c r="AD145" i="20"/>
  <c r="V145" i="20"/>
  <c r="AC145" i="20"/>
  <c r="U145" i="20"/>
  <c r="AA145" i="20"/>
  <c r="AB145" i="20"/>
  <c r="AD153" i="20"/>
  <c r="V153" i="20"/>
  <c r="AC153" i="20"/>
  <c r="U153" i="20"/>
  <c r="AA153" i="20"/>
  <c r="AB153" i="20"/>
  <c r="X154" i="20"/>
  <c r="T328" i="20"/>
  <c r="R328" i="20" s="1"/>
  <c r="T288" i="20"/>
  <c r="R288" i="20" s="1"/>
  <c r="T296" i="20"/>
  <c r="R296" i="20" s="1"/>
  <c r="T304" i="20"/>
  <c r="R304" i="20" s="1"/>
  <c r="T312" i="20"/>
  <c r="R312" i="20" s="1"/>
  <c r="T317" i="20"/>
  <c r="R317" i="20" s="1"/>
  <c r="T321" i="20"/>
  <c r="R321" i="20" s="1"/>
  <c r="T322" i="20"/>
  <c r="R322" i="20" s="1"/>
  <c r="T325" i="20"/>
  <c r="R325" i="20" s="1"/>
  <c r="T331" i="20"/>
  <c r="R331" i="20" s="1"/>
  <c r="T348" i="20"/>
  <c r="R348" i="20" s="1"/>
  <c r="T354" i="20"/>
  <c r="R354" i="20" s="1"/>
  <c r="T285" i="20"/>
  <c r="R285" i="20" s="1"/>
  <c r="T293" i="20"/>
  <c r="R293" i="20" s="1"/>
  <c r="T301" i="20"/>
  <c r="R301" i="20" s="1"/>
  <c r="T309" i="20"/>
  <c r="R309" i="20" s="1"/>
  <c r="T336" i="20"/>
  <c r="R336" i="20" s="1"/>
  <c r="T342" i="20"/>
  <c r="R342" i="20" s="1"/>
  <c r="T290" i="20"/>
  <c r="R290" i="20" s="1"/>
  <c r="T298" i="20"/>
  <c r="R298" i="20" s="1"/>
  <c r="T306" i="20"/>
  <c r="R306" i="20" s="1"/>
  <c r="T314" i="20"/>
  <c r="R314" i="20" s="1"/>
  <c r="T330" i="20"/>
  <c r="R330" i="20" s="1"/>
  <c r="T333" i="20"/>
  <c r="R333" i="20" s="1"/>
  <c r="T339" i="20"/>
  <c r="R339" i="20" s="1"/>
  <c r="T356" i="20"/>
  <c r="R356" i="20" s="1"/>
  <c r="T363" i="20"/>
  <c r="R363" i="20" s="1"/>
  <c r="T287" i="20"/>
  <c r="R287" i="20" s="1"/>
  <c r="T295" i="20"/>
  <c r="R295" i="20" s="1"/>
  <c r="T303" i="20"/>
  <c r="R303" i="20" s="1"/>
  <c r="T311" i="20"/>
  <c r="R311" i="20" s="1"/>
  <c r="T316" i="20"/>
  <c r="R316" i="20" s="1"/>
  <c r="T327" i="20"/>
  <c r="R327" i="20" s="1"/>
  <c r="T344" i="20"/>
  <c r="R344" i="20" s="1"/>
  <c r="T289" i="20"/>
  <c r="R289" i="20" s="1"/>
  <c r="T297" i="20"/>
  <c r="R297" i="20" s="1"/>
  <c r="T305" i="20"/>
  <c r="R305" i="20" s="1"/>
  <c r="T313" i="20"/>
  <c r="R313" i="20" s="1"/>
  <c r="T318" i="20"/>
  <c r="R318" i="20" s="1"/>
  <c r="T326" i="20"/>
  <c r="R326" i="20" s="1"/>
  <c r="T335" i="20"/>
  <c r="R335" i="20" s="1"/>
  <c r="T352" i="20"/>
  <c r="R352" i="20" s="1"/>
  <c r="T315" i="20"/>
  <c r="R315" i="20" s="1"/>
  <c r="R323" i="20"/>
  <c r="T386" i="20"/>
  <c r="R386" i="20" s="1"/>
  <c r="Z319" i="20"/>
  <c r="T319" i="20" s="1"/>
  <c r="R319" i="20" s="1"/>
  <c r="T385" i="20"/>
  <c r="R385" i="20" s="1"/>
  <c r="T387" i="20"/>
  <c r="R387" i="20" s="1"/>
  <c r="T384" i="20"/>
  <c r="R384" i="20" s="1"/>
  <c r="X400" i="20"/>
  <c r="X401" i="20"/>
  <c r="X402" i="20"/>
  <c r="X403" i="20"/>
  <c r="Y389" i="20"/>
  <c r="T389" i="20" s="1"/>
  <c r="R389" i="20" s="1"/>
  <c r="Y390" i="20"/>
  <c r="Y391" i="20"/>
  <c r="Y392" i="20"/>
  <c r="Y393" i="20"/>
  <c r="Y394" i="20"/>
  <c r="Y395" i="20"/>
  <c r="Y396" i="20"/>
  <c r="Y397" i="20"/>
  <c r="Y398" i="20"/>
  <c r="Y399" i="20"/>
  <c r="Y400" i="20"/>
  <c r="Y401" i="20"/>
  <c r="Y402" i="20"/>
  <c r="Y403" i="20"/>
  <c r="Z390" i="20"/>
  <c r="Z391" i="20"/>
  <c r="Z392" i="20"/>
  <c r="Z393" i="20"/>
  <c r="Z394" i="20"/>
  <c r="Z395" i="20"/>
  <c r="Z396" i="20"/>
  <c r="Z397" i="20"/>
  <c r="Z398" i="20"/>
  <c r="Z399" i="20"/>
  <c r="Z400" i="20"/>
  <c r="Z401" i="20"/>
  <c r="Z402" i="20"/>
  <c r="Z403" i="20"/>
  <c r="AA390" i="20"/>
  <c r="AA391" i="20"/>
  <c r="AA392" i="20"/>
  <c r="AA393" i="20"/>
  <c r="AA394" i="20"/>
  <c r="AA395" i="20"/>
  <c r="AA396" i="20"/>
  <c r="AA397" i="20"/>
  <c r="AA398" i="20"/>
  <c r="AA399" i="20"/>
  <c r="AA400" i="20"/>
  <c r="AA401" i="20"/>
  <c r="AA402" i="20"/>
  <c r="AA403" i="20"/>
  <c r="V390" i="20"/>
  <c r="V391" i="20"/>
  <c r="V392" i="20"/>
  <c r="V393" i="20"/>
  <c r="V394" i="20"/>
  <c r="V395" i="20"/>
  <c r="T395" i="20" s="1"/>
  <c r="R395" i="20" s="1"/>
  <c r="V396" i="20"/>
  <c r="T396" i="20" s="1"/>
  <c r="R396" i="20" s="1"/>
  <c r="V397" i="20"/>
  <c r="V398" i="20"/>
  <c r="V399" i="20"/>
  <c r="V400" i="20"/>
  <c r="V401" i="20"/>
  <c r="V402" i="20"/>
  <c r="V403" i="20"/>
  <c r="T403" i="20" s="1"/>
  <c r="R403" i="20" s="1"/>
  <c r="B42" i="34" l="1"/>
  <c r="D41" i="34"/>
  <c r="AE17" i="28" a="1"/>
  <c r="AE17" i="28" s="1"/>
  <c r="C17" i="28"/>
  <c r="C32" i="7" s="1"/>
  <c r="A32" i="7"/>
  <c r="B33" i="7"/>
  <c r="AC18" i="28"/>
  <c r="AD18" i="28" s="1"/>
  <c r="A18" i="28"/>
  <c r="B19" i="28"/>
  <c r="T401" i="20"/>
  <c r="R401" i="20" s="1"/>
  <c r="T143" i="20"/>
  <c r="R143" i="20" s="1"/>
  <c r="T97" i="20"/>
  <c r="R97" i="20" s="1"/>
  <c r="T81" i="20"/>
  <c r="R81" i="20" s="1"/>
  <c r="T98" i="20"/>
  <c r="R98" i="20" s="1"/>
  <c r="T94" i="20"/>
  <c r="R94" i="20" s="1"/>
  <c r="T90" i="20"/>
  <c r="R90" i="20" s="1"/>
  <c r="T86" i="20"/>
  <c r="R86" i="20" s="1"/>
  <c r="T82" i="20"/>
  <c r="R82" i="20" s="1"/>
  <c r="T78" i="20"/>
  <c r="R78" i="20" s="1"/>
  <c r="T74" i="20"/>
  <c r="R74" i="20" s="1"/>
  <c r="T394" i="20"/>
  <c r="R394" i="20" s="1"/>
  <c r="T393" i="20"/>
  <c r="R393" i="20" s="1"/>
  <c r="T400" i="20"/>
  <c r="R400" i="20" s="1"/>
  <c r="T392" i="20"/>
  <c r="R392" i="20" s="1"/>
  <c r="T153" i="20"/>
  <c r="R153" i="20" s="1"/>
  <c r="T154" i="20"/>
  <c r="R154" i="20" s="1"/>
  <c r="T151" i="20"/>
  <c r="R151" i="20" s="1"/>
  <c r="T130" i="20"/>
  <c r="R130" i="20" s="1"/>
  <c r="T117" i="20"/>
  <c r="R117" i="20" s="1"/>
  <c r="T109" i="20"/>
  <c r="R109" i="20" s="1"/>
  <c r="T87" i="20"/>
  <c r="R87" i="20" s="1"/>
  <c r="T15" i="20"/>
  <c r="R15" i="20" s="1"/>
  <c r="T402" i="20"/>
  <c r="R402" i="20" s="1"/>
  <c r="T391" i="20"/>
  <c r="R391" i="20" s="1"/>
  <c r="T140" i="20"/>
  <c r="R140" i="20" s="1"/>
  <c r="T124" i="20"/>
  <c r="R124" i="20" s="1"/>
  <c r="T134" i="20"/>
  <c r="R134" i="20" s="1"/>
  <c r="T138" i="20"/>
  <c r="R138" i="20" s="1"/>
  <c r="T93" i="20"/>
  <c r="R93" i="20" s="1"/>
  <c r="T77" i="20"/>
  <c r="R77" i="20" s="1"/>
  <c r="T27" i="20"/>
  <c r="R27" i="20" s="1"/>
  <c r="T37" i="20"/>
  <c r="R37" i="20" s="1"/>
  <c r="T43" i="20"/>
  <c r="R43" i="20" s="1"/>
  <c r="T390" i="20"/>
  <c r="R390" i="20" s="1"/>
  <c r="T144" i="20"/>
  <c r="R144" i="20" s="1"/>
  <c r="T136" i="20"/>
  <c r="R136" i="20" s="1"/>
  <c r="T156" i="20"/>
  <c r="R156" i="20" s="1"/>
  <c r="T148" i="20"/>
  <c r="R148" i="20" s="1"/>
  <c r="T128" i="20"/>
  <c r="R128" i="20" s="1"/>
  <c r="T115" i="20"/>
  <c r="R115" i="20" s="1"/>
  <c r="T135" i="20"/>
  <c r="R135" i="20" s="1"/>
  <c r="T133" i="20"/>
  <c r="R133" i="20" s="1"/>
  <c r="T125" i="20"/>
  <c r="R125" i="20" s="1"/>
  <c r="T121" i="20"/>
  <c r="R121" i="20" s="1"/>
  <c r="T112" i="20"/>
  <c r="R112" i="20" s="1"/>
  <c r="T99" i="20"/>
  <c r="R99" i="20" s="1"/>
  <c r="T83" i="20"/>
  <c r="R83" i="20" s="1"/>
  <c r="T34" i="20"/>
  <c r="R34" i="20" s="1"/>
  <c r="T399" i="20"/>
  <c r="R399" i="20" s="1"/>
  <c r="T398" i="20"/>
  <c r="R398" i="20" s="1"/>
  <c r="T397" i="20"/>
  <c r="R397" i="20" s="1"/>
  <c r="T147" i="20"/>
  <c r="R147" i="20" s="1"/>
  <c r="T152" i="20"/>
  <c r="R152" i="20" s="1"/>
  <c r="T118" i="20"/>
  <c r="R118" i="20" s="1"/>
  <c r="T146" i="20"/>
  <c r="R146" i="20" s="1"/>
  <c r="T120" i="20"/>
  <c r="R120" i="20" s="1"/>
  <c r="T108" i="20"/>
  <c r="R108" i="20" s="1"/>
  <c r="T89" i="20"/>
  <c r="R89" i="20" s="1"/>
  <c r="T96" i="20"/>
  <c r="R96" i="20" s="1"/>
  <c r="T92" i="20"/>
  <c r="R92" i="20" s="1"/>
  <c r="T88" i="20"/>
  <c r="R88" i="20" s="1"/>
  <c r="T84" i="20"/>
  <c r="R84" i="20" s="1"/>
  <c r="T80" i="20"/>
  <c r="R80" i="20" s="1"/>
  <c r="T76" i="20"/>
  <c r="R76" i="20" s="1"/>
  <c r="T9" i="20"/>
  <c r="R9" i="20" s="1"/>
  <c r="T33" i="20"/>
  <c r="R33" i="20" s="1"/>
  <c r="T11" i="20"/>
  <c r="R11" i="20" s="1"/>
  <c r="T35" i="20"/>
  <c r="R35" i="20" s="1"/>
  <c r="T39" i="20"/>
  <c r="R39" i="20" s="1"/>
  <c r="T139" i="20"/>
  <c r="R139" i="20" s="1"/>
  <c r="T105" i="20"/>
  <c r="R105" i="20" s="1"/>
  <c r="T106" i="20"/>
  <c r="R106" i="20" s="1"/>
  <c r="T25" i="20"/>
  <c r="R25" i="20" s="1"/>
  <c r="T142" i="20"/>
  <c r="R142" i="20" s="1"/>
  <c r="T101" i="20"/>
  <c r="R101" i="20" s="1"/>
  <c r="T85" i="20"/>
  <c r="R85" i="20" s="1"/>
  <c r="T7" i="20"/>
  <c r="R7" i="20" s="1"/>
  <c r="T31" i="20"/>
  <c r="R31" i="20" s="1"/>
  <c r="T145" i="20"/>
  <c r="R145" i="20" s="1"/>
  <c r="T157" i="20"/>
  <c r="R157" i="20" s="1"/>
  <c r="T149" i="20"/>
  <c r="R149" i="20" s="1"/>
  <c r="T141" i="20"/>
  <c r="R141" i="20" s="1"/>
  <c r="T131" i="20"/>
  <c r="R131" i="20" s="1"/>
  <c r="T122" i="20"/>
  <c r="R122" i="20" s="1"/>
  <c r="T150" i="20"/>
  <c r="R150" i="20" s="1"/>
  <c r="T127" i="20"/>
  <c r="R127" i="20" s="1"/>
  <c r="T123" i="20"/>
  <c r="R123" i="20" s="1"/>
  <c r="T119" i="20"/>
  <c r="R119" i="20" s="1"/>
  <c r="T91" i="20"/>
  <c r="R91" i="20" s="1"/>
  <c r="T75" i="20"/>
  <c r="R75" i="20" s="1"/>
  <c r="T23" i="20"/>
  <c r="R23" i="20" s="1"/>
  <c r="B43" i="34" l="1"/>
  <c r="D42" i="34"/>
  <c r="AE18" i="28" a="1"/>
  <c r="AE18" i="28" s="1"/>
  <c r="B34" i="7"/>
  <c r="AC19" i="28"/>
  <c r="AD19" i="28" s="1"/>
  <c r="B20" i="28"/>
  <c r="A19" i="28"/>
  <c r="A33" i="7"/>
  <c r="D6" i="16"/>
  <c r="D5" i="16"/>
  <c r="J3" i="15"/>
  <c r="K3" i="15"/>
  <c r="J4" i="15"/>
  <c r="K4" i="15"/>
  <c r="J5" i="15"/>
  <c r="K5" i="15"/>
  <c r="J6" i="15"/>
  <c r="K6" i="15"/>
  <c r="J7" i="15"/>
  <c r="K7" i="15"/>
  <c r="J8" i="15"/>
  <c r="K8" i="15"/>
  <c r="J9" i="15"/>
  <c r="K9" i="15"/>
  <c r="J10" i="15"/>
  <c r="K10" i="15"/>
  <c r="F10" i="15"/>
  <c r="C28" i="16"/>
  <c r="E27" i="16"/>
  <c r="E26" i="16"/>
  <c r="E25" i="16"/>
  <c r="E24" i="16"/>
  <c r="E23" i="16"/>
  <c r="E22" i="16"/>
  <c r="E28" i="16" s="1"/>
  <c r="N14" i="16"/>
  <c r="G14" i="16"/>
  <c r="N13" i="16"/>
  <c r="G13" i="16"/>
  <c r="D13" i="16"/>
  <c r="N12" i="16"/>
  <c r="G12" i="16"/>
  <c r="D12" i="16"/>
  <c r="N11" i="16"/>
  <c r="H11" i="16"/>
  <c r="G11" i="16"/>
  <c r="N10" i="16"/>
  <c r="H10" i="16"/>
  <c r="G10" i="16"/>
  <c r="D10" i="16"/>
  <c r="N9" i="16"/>
  <c r="I9" i="16"/>
  <c r="H9" i="16"/>
  <c r="G9" i="16"/>
  <c r="N8" i="16"/>
  <c r="I8" i="16"/>
  <c r="H8" i="16"/>
  <c r="G8" i="16"/>
  <c r="D8" i="16"/>
  <c r="N7" i="16"/>
  <c r="J7" i="16"/>
  <c r="I7" i="16"/>
  <c r="H7" i="16"/>
  <c r="G7" i="16"/>
  <c r="N6" i="16"/>
  <c r="J6" i="16"/>
  <c r="I6" i="16"/>
  <c r="H6" i="16"/>
  <c r="G6" i="16"/>
  <c r="N5" i="16"/>
  <c r="L5" i="16"/>
  <c r="J5" i="16"/>
  <c r="I5" i="16"/>
  <c r="H5" i="16"/>
  <c r="G5" i="16"/>
  <c r="T4" i="16"/>
  <c r="S4" i="16"/>
  <c r="R4" i="16"/>
  <c r="Q4" i="16"/>
  <c r="P4" i="16"/>
  <c r="O4" i="16"/>
  <c r="K25" i="15"/>
  <c r="J25" i="15"/>
  <c r="K24" i="15"/>
  <c r="J24" i="15"/>
  <c r="K23" i="15"/>
  <c r="J23" i="15"/>
  <c r="K22" i="15"/>
  <c r="J22" i="15"/>
  <c r="K21" i="15"/>
  <c r="J21" i="15"/>
  <c r="K20" i="15"/>
  <c r="J20" i="15"/>
  <c r="K19" i="15"/>
  <c r="J19" i="15"/>
  <c r="K18" i="15"/>
  <c r="J18" i="15"/>
  <c r="K17" i="15"/>
  <c r="J17" i="15"/>
  <c r="K16" i="15"/>
  <c r="J16" i="15"/>
  <c r="K14" i="15"/>
  <c r="J14" i="15"/>
  <c r="K13" i="15"/>
  <c r="J13" i="15"/>
  <c r="K11" i="15"/>
  <c r="J11" i="15"/>
  <c r="B44" i="34" l="1"/>
  <c r="D44" i="34" s="1"/>
  <c r="C66" i="35" s="1"/>
  <c r="D43" i="34"/>
  <c r="AE19" i="28" a="1"/>
  <c r="AE19" i="28" s="1"/>
  <c r="A34" i="7"/>
  <c r="B35" i="7"/>
  <c r="AC20" i="28"/>
  <c r="AD20" i="28" s="1"/>
  <c r="A20" i="28"/>
  <c r="B21" i="28"/>
  <c r="C68" i="35" l="1"/>
  <c r="E69" i="35" s="1"/>
  <c r="E67" i="35"/>
  <c r="AE20" i="28" a="1"/>
  <c r="AE20" i="28" s="1"/>
  <c r="A35" i="7"/>
  <c r="B36" i="7"/>
  <c r="AC21" i="28"/>
  <c r="AD21" i="28" s="1"/>
  <c r="B22" i="28"/>
  <c r="A21" i="28"/>
  <c r="AE21" i="28" l="1" a="1"/>
  <c r="AE21" i="28" s="1"/>
  <c r="B37" i="7"/>
  <c r="AC22" i="28"/>
  <c r="AD22" i="28" s="1"/>
  <c r="A22" i="28"/>
  <c r="B23" i="28"/>
  <c r="A36" i="7"/>
  <c r="AE22" i="28" l="1" a="1"/>
  <c r="AE22" i="28" s="1"/>
  <c r="B38" i="7"/>
  <c r="AC23" i="28"/>
  <c r="AD23" i="28" s="1"/>
  <c r="A23" i="28"/>
  <c r="B24" i="28"/>
  <c r="E23" i="28"/>
  <c r="A37" i="7"/>
  <c r="AD24" i="28" l="1"/>
  <c r="AE23" i="28" a="1"/>
  <c r="AE23" i="28" s="1"/>
  <c r="B39" i="7"/>
  <c r="AC24" i="28"/>
  <c r="B25" i="28"/>
  <c r="A24" i="28"/>
  <c r="E24" i="28"/>
  <c r="A38" i="7"/>
  <c r="C23" i="28"/>
  <c r="C38" i="7" s="1"/>
  <c r="C24" i="28" l="1"/>
  <c r="C39" i="7" s="1"/>
  <c r="A39" i="7"/>
  <c r="B40" i="7"/>
  <c r="AC25" i="28"/>
  <c r="AD25" i="28" s="1"/>
  <c r="A25" i="28"/>
  <c r="B26" i="28"/>
  <c r="AE24" i="28" a="1"/>
  <c r="AE24" i="28" s="1"/>
  <c r="AE25" i="28" l="1" a="1"/>
  <c r="AE25" i="28" s="1"/>
  <c r="B41" i="7"/>
  <c r="AC26" i="28"/>
  <c r="AD26" i="28" s="1"/>
  <c r="B27" i="28"/>
  <c r="A26" i="28"/>
  <c r="A40" i="7"/>
  <c r="AE26" i="28" l="1" a="1"/>
  <c r="AE26" i="28" s="1"/>
  <c r="A41" i="7"/>
  <c r="B42" i="7"/>
  <c r="AC27" i="28"/>
  <c r="AD27" i="28" s="1"/>
  <c r="A27" i="28"/>
  <c r="B28" i="28"/>
  <c r="AE27" i="28" l="1" a="1"/>
  <c r="AE27" i="28" s="1"/>
  <c r="B43" i="7"/>
  <c r="AC28" i="28"/>
  <c r="AD28" i="28" s="1"/>
  <c r="B29" i="28"/>
  <c r="A28" i="28"/>
  <c r="A42" i="7"/>
  <c r="AE28" i="28" l="1" a="1"/>
  <c r="AE28" i="28" s="1"/>
  <c r="A43" i="7"/>
  <c r="B44" i="7"/>
  <c r="AC29" i="28"/>
  <c r="AD29" i="28" s="1"/>
  <c r="A29" i="28"/>
  <c r="B30" i="28"/>
  <c r="AE29" i="28" l="1" a="1"/>
  <c r="AE29" i="28" s="1"/>
  <c r="B45" i="7"/>
  <c r="AC30" i="28"/>
  <c r="AD30" i="28" s="1"/>
  <c r="B31" i="28"/>
  <c r="E30" i="28"/>
  <c r="A30" i="28"/>
  <c r="A44" i="7"/>
  <c r="D16" i="12"/>
  <c r="C16" i="12"/>
  <c r="G8" i="12"/>
  <c r="G7" i="12"/>
  <c r="AE30" i="28" l="1" a="1"/>
  <c r="AE30" i="28" s="1"/>
  <c r="C30" i="28"/>
  <c r="C45" i="7" s="1"/>
  <c r="A45" i="7"/>
  <c r="B46" i="7"/>
  <c r="AC31" i="28"/>
  <c r="AD31" i="28" s="1"/>
  <c r="A31" i="28"/>
  <c r="E31" i="28"/>
  <c r="B32" i="28"/>
  <c r="AE31" i="28" l="1" a="1"/>
  <c r="AE31" i="28" s="1"/>
  <c r="B47" i="7"/>
  <c r="AC32" i="28"/>
  <c r="AD32" i="28" s="1"/>
  <c r="A32" i="28"/>
  <c r="B33" i="28"/>
  <c r="C31" i="28"/>
  <c r="C46" i="7" s="1"/>
  <c r="A46" i="7"/>
  <c r="AE32" i="28" l="1" a="1"/>
  <c r="AE32" i="28" s="1"/>
  <c r="B48" i="7"/>
  <c r="AC33" i="28"/>
  <c r="AD33" i="28" s="1"/>
  <c r="AE33" i="28" s="1" a="1"/>
  <c r="AE33" i="28" s="1"/>
  <c r="B34" i="28"/>
  <c r="A33" i="28"/>
  <c r="A47" i="7"/>
  <c r="C15" i="21"/>
  <c r="C17" i="21" s="1"/>
  <c r="A48" i="7" l="1"/>
  <c r="B49" i="7"/>
  <c r="AC34" i="28"/>
  <c r="AD34" i="28" s="1"/>
  <c r="AE34" i="28" s="1" a="1"/>
  <c r="AE34" i="28" s="1"/>
  <c r="B35" i="28"/>
  <c r="A34" i="28"/>
  <c r="G36" i="5"/>
  <c r="G35" i="5"/>
  <c r="K3" i="16" l="1"/>
  <c r="D6" i="19"/>
  <c r="A49" i="7"/>
  <c r="B50" i="7"/>
  <c r="AC35" i="28"/>
  <c r="AD35" i="28" s="1"/>
  <c r="A35" i="28"/>
  <c r="B36" i="28"/>
  <c r="F10" i="19" l="1"/>
  <c r="F9" i="19"/>
  <c r="K5" i="16"/>
  <c r="K6" i="16"/>
  <c r="B51" i="7"/>
  <c r="AC36" i="28"/>
  <c r="B37" i="28"/>
  <c r="A36" i="28"/>
  <c r="A50" i="7"/>
  <c r="AD36" i="28"/>
  <c r="AE36" i="28" s="1" a="1"/>
  <c r="AE36" i="28" s="1"/>
  <c r="AE35" i="28" a="1"/>
  <c r="AE35" i="28" s="1"/>
  <c r="A51" i="7" l="1"/>
  <c r="B52" i="7"/>
  <c r="AC37" i="28"/>
  <c r="AD37" i="28" s="1"/>
  <c r="A37" i="28"/>
  <c r="E37" i="28"/>
  <c r="B38" i="28"/>
  <c r="AE37" i="28" l="1" a="1"/>
  <c r="AE37" i="28" s="1"/>
  <c r="B53" i="7"/>
  <c r="AC38" i="28"/>
  <c r="AD38" i="28" s="1"/>
  <c r="E38" i="28"/>
  <c r="B39" i="28"/>
  <c r="A38" i="28"/>
  <c r="A52" i="7"/>
  <c r="C37" i="28"/>
  <c r="C52" i="7" s="1"/>
  <c r="AE38" i="28" l="1" a="1"/>
  <c r="AE38" i="28" s="1"/>
  <c r="A53" i="7"/>
  <c r="C38" i="28"/>
  <c r="C53" i="7" s="1"/>
  <c r="B54" i="7"/>
  <c r="AC39" i="28"/>
  <c r="AD39" i="28" s="1"/>
  <c r="B40" i="28"/>
  <c r="A39" i="28"/>
  <c r="AE39" i="28" l="1" a="1"/>
  <c r="AE39" i="28" s="1"/>
  <c r="A54" i="7"/>
  <c r="B55" i="7"/>
  <c r="AC40" i="28"/>
  <c r="AD40" i="28" s="1"/>
  <c r="B41" i="28"/>
  <c r="A40" i="28"/>
  <c r="AE40" i="28" l="1" a="1"/>
  <c r="AE40" i="28" s="1"/>
  <c r="B56" i="7"/>
  <c r="AC41" i="28"/>
  <c r="AD41" i="28" s="1"/>
  <c r="B42" i="28"/>
  <c r="A41" i="28"/>
  <c r="A55" i="7"/>
  <c r="AE41" i="28" l="1" a="1"/>
  <c r="AE41" i="28" s="1"/>
  <c r="A56" i="7"/>
  <c r="B57" i="7"/>
  <c r="AC42" i="28"/>
  <c r="AD42" i="28" s="1"/>
  <c r="B43" i="28"/>
  <c r="A42" i="28"/>
  <c r="AE42" i="28" l="1" a="1"/>
  <c r="AE42" i="28" s="1"/>
  <c r="A57" i="7"/>
  <c r="B58" i="7"/>
  <c r="AC43" i="28"/>
  <c r="AD43" i="28" s="1"/>
  <c r="B44" i="28"/>
  <c r="A43" i="28"/>
  <c r="AE43" i="28" l="1" a="1"/>
  <c r="AE43" i="28" s="1"/>
  <c r="A58" i="7"/>
  <c r="B59" i="7"/>
  <c r="AC44" i="28"/>
  <c r="AD44" i="28" s="1"/>
  <c r="B45" i="28"/>
  <c r="E44" i="28"/>
  <c r="A44" i="28"/>
  <c r="AE44" i="28" l="1" a="1"/>
  <c r="AE44" i="28" s="1"/>
  <c r="C44" i="28"/>
  <c r="C59" i="7" s="1"/>
  <c r="A59" i="7"/>
  <c r="B60" i="7"/>
  <c r="AC45" i="28"/>
  <c r="AD45" i="28" s="1"/>
  <c r="A45" i="28"/>
  <c r="B46" i="28"/>
  <c r="E45" i="28"/>
  <c r="AE45" i="28" l="1" a="1"/>
  <c r="AE45" i="28" s="1"/>
  <c r="B61" i="7"/>
  <c r="AC46" i="28"/>
  <c r="AD46" i="28" s="1"/>
  <c r="AE46" i="28" s="1" a="1"/>
  <c r="AE46" i="28" s="1"/>
  <c r="B47" i="28"/>
  <c r="A46" i="28"/>
  <c r="C45" i="28"/>
  <c r="C60" i="7" s="1"/>
  <c r="A60" i="7"/>
  <c r="B62" i="7" l="1"/>
  <c r="AC47" i="28"/>
  <c r="AD47" i="28" s="1"/>
  <c r="B48" i="28"/>
  <c r="A47" i="28"/>
  <c r="A61" i="7"/>
  <c r="A62" i="7" l="1"/>
  <c r="B63" i="7"/>
  <c r="AC48" i="28"/>
  <c r="B49" i="28"/>
  <c r="A48" i="28"/>
  <c r="AD48" i="28"/>
  <c r="AE47" i="28" a="1"/>
  <c r="AE47" i="28" s="1"/>
  <c r="A63" i="7" l="1"/>
  <c r="B64" i="7"/>
  <c r="AC49" i="28"/>
  <c r="AD49" i="28" s="1"/>
  <c r="A49" i="28"/>
  <c r="B50" i="28"/>
  <c r="AE48" i="28" a="1"/>
  <c r="AE48" i="28" s="1"/>
  <c r="AE49" i="28" l="1" a="1"/>
  <c r="AE49" i="28" s="1"/>
  <c r="B65" i="7"/>
  <c r="AC50" i="28"/>
  <c r="AD50" i="28" s="1"/>
  <c r="B51" i="28"/>
  <c r="A50" i="28"/>
  <c r="A64" i="7"/>
  <c r="AE50" i="28" l="1" a="1"/>
  <c r="AE50" i="28" s="1"/>
  <c r="A65" i="7"/>
  <c r="B66" i="7"/>
  <c r="AC51" i="28"/>
  <c r="AD51" i="28" s="1"/>
  <c r="A51" i="28"/>
  <c r="B52" i="28"/>
  <c r="E51" i="28"/>
  <c r="AE51" i="28" l="1" a="1"/>
  <c r="AE51" i="28" s="1"/>
  <c r="B67" i="7"/>
  <c r="AC52" i="28"/>
  <c r="AD52" i="28" s="1"/>
  <c r="B53" i="28"/>
  <c r="A52" i="28"/>
  <c r="E52" i="28"/>
  <c r="A66" i="7"/>
  <c r="C51" i="28"/>
  <c r="C66" i="7" s="1"/>
  <c r="AE52" i="28" l="1" a="1"/>
  <c r="AE52" i="28" s="1"/>
  <c r="C52" i="28"/>
  <c r="C67" i="7" s="1"/>
  <c r="A67" i="7"/>
  <c r="B68" i="7"/>
  <c r="AC53" i="28"/>
  <c r="AD53" i="28" s="1"/>
  <c r="B54" i="28"/>
  <c r="A53" i="28"/>
  <c r="AE53" i="28" l="1" a="1"/>
  <c r="AE53" i="28" s="1"/>
  <c r="B69" i="7"/>
  <c r="AC54" i="28"/>
  <c r="AD54" i="28" s="1"/>
  <c r="B55" i="28"/>
  <c r="A54" i="28"/>
  <c r="A68" i="7"/>
  <c r="AE54" i="28" l="1" a="1"/>
  <c r="AE54" i="28" s="1"/>
  <c r="A69" i="7"/>
  <c r="B70" i="7"/>
  <c r="AC55" i="28"/>
  <c r="AD55" i="28" s="1"/>
  <c r="B56" i="28"/>
  <c r="A55" i="28"/>
  <c r="AE55" i="28" l="1" a="1"/>
  <c r="AE55" i="28" s="1"/>
  <c r="A70" i="7"/>
  <c r="B71" i="7"/>
  <c r="AC56" i="28"/>
  <c r="AD56" i="28" s="1"/>
  <c r="B57" i="28"/>
  <c r="A56" i="28"/>
  <c r="AE56" i="28" l="1" a="1"/>
  <c r="AE56" i="28" s="1"/>
  <c r="A71" i="7"/>
  <c r="B72" i="7"/>
  <c r="AC57" i="28"/>
  <c r="AD57" i="28" s="1"/>
  <c r="A57" i="28"/>
  <c r="B58" i="28"/>
  <c r="AE57" i="28" l="1" a="1"/>
  <c r="AE57" i="28" s="1"/>
  <c r="B73" i="7"/>
  <c r="AC58" i="28"/>
  <c r="AD58" i="28" s="1"/>
  <c r="A58" i="28"/>
  <c r="B59" i="28"/>
  <c r="E58" i="28"/>
  <c r="A72" i="7"/>
  <c r="AE58" i="28" l="1" a="1"/>
  <c r="AE58" i="28" s="1"/>
  <c r="B74" i="7"/>
  <c r="AC59" i="28"/>
  <c r="AD59" i="28" s="1"/>
  <c r="AE59" i="28" s="1" a="1"/>
  <c r="AE59" i="28" s="1"/>
  <c r="E59" i="28"/>
  <c r="B60" i="28"/>
  <c r="A59" i="28"/>
  <c r="C58" i="28"/>
  <c r="C73" i="7" s="1"/>
  <c r="A73" i="7"/>
  <c r="C59" i="28" l="1"/>
  <c r="C74" i="7" s="1"/>
  <c r="A74" i="7"/>
  <c r="B75" i="7"/>
  <c r="AC60" i="28"/>
  <c r="AD60" i="28" s="1"/>
  <c r="AE60" i="28" s="1" a="1"/>
  <c r="AE60" i="28" s="1"/>
  <c r="B61" i="28"/>
  <c r="A60" i="28"/>
  <c r="B76" i="7" l="1"/>
  <c r="AC61" i="28"/>
  <c r="AD61" i="28" s="1"/>
  <c r="B62" i="28"/>
  <c r="A61" i="28"/>
  <c r="A75" i="7"/>
  <c r="A76" i="7" l="1"/>
  <c r="B77" i="7"/>
  <c r="AC62" i="28"/>
  <c r="B63" i="28"/>
  <c r="A62" i="28"/>
  <c r="AD62" i="28"/>
  <c r="AE61" i="28" a="1"/>
  <c r="AE61" i="28" s="1"/>
  <c r="AD63" i="28" l="1"/>
  <c r="AE62" i="28" a="1"/>
  <c r="AE62" i="28" s="1"/>
  <c r="A77" i="7"/>
  <c r="B78" i="7"/>
  <c r="AC63" i="28"/>
  <c r="B64" i="28"/>
  <c r="A63" i="28"/>
  <c r="A78" i="7" l="1"/>
  <c r="B79" i="7"/>
  <c r="AC64" i="28"/>
  <c r="A64" i="28"/>
  <c r="B65" i="28"/>
  <c r="AD64" i="28"/>
  <c r="AE64" i="28" s="1" a="1"/>
  <c r="AE64" i="28" s="1"/>
  <c r="AE63" i="28" a="1"/>
  <c r="AE63" i="28" s="1"/>
  <c r="AC65" i="28" l="1"/>
  <c r="AD65" i="28" s="1"/>
  <c r="B80" i="7"/>
  <c r="A65" i="28"/>
  <c r="B66" i="28"/>
  <c r="E65" i="28"/>
  <c r="A79" i="7"/>
  <c r="C65" i="28" l="1"/>
  <c r="C80" i="7" s="1"/>
  <c r="A80" i="7"/>
  <c r="B81" i="7"/>
  <c r="AC66" i="28"/>
  <c r="AD66" i="28" s="1"/>
  <c r="E66" i="28"/>
  <c r="A66" i="28"/>
  <c r="B67" i="28"/>
  <c r="AE65" i="28" a="1"/>
  <c r="AE65" i="28" s="1"/>
  <c r="AE66" i="28" l="1" a="1"/>
  <c r="AE66" i="28" s="1"/>
  <c r="B82" i="7"/>
  <c r="AC67" i="28"/>
  <c r="AD67" i="28" s="1"/>
  <c r="B68" i="28"/>
  <c r="A67" i="28"/>
  <c r="A81" i="7"/>
  <c r="C66" i="28"/>
  <c r="C81" i="7" s="1"/>
  <c r="AE67" i="28" l="1" a="1"/>
  <c r="AE67" i="28" s="1"/>
  <c r="A82" i="7"/>
  <c r="B83" i="7"/>
  <c r="AC68" i="28"/>
  <c r="AD68" i="28" s="1"/>
  <c r="B69" i="28"/>
  <c r="A68" i="28"/>
  <c r="AD69" i="28" l="1"/>
  <c r="AE68" i="28" a="1"/>
  <c r="AE68" i="28" s="1"/>
  <c r="A83" i="7"/>
  <c r="B84" i="7"/>
  <c r="AC69" i="28"/>
  <c r="B70" i="28"/>
  <c r="A69" i="28"/>
  <c r="A84" i="7" l="1"/>
  <c r="B85" i="7"/>
  <c r="AC70" i="28"/>
  <c r="B71" i="28"/>
  <c r="A70" i="28"/>
  <c r="AD70" i="28"/>
  <c r="AE69" i="28" a="1"/>
  <c r="AE69" i="28" s="1"/>
  <c r="AE70" i="28" l="1" a="1"/>
  <c r="AE70" i="28" s="1"/>
  <c r="B86" i="7"/>
  <c r="AC71" i="28"/>
  <c r="AD71" i="28" s="1"/>
  <c r="B72" i="28"/>
  <c r="A71" i="28"/>
  <c r="A85" i="7"/>
  <c r="AE71" i="28" l="1" a="1"/>
  <c r="AE71" i="28" s="1"/>
  <c r="A86" i="7"/>
  <c r="B87" i="7"/>
  <c r="AC72" i="28"/>
  <c r="AD72" i="28" s="1"/>
  <c r="E72" i="28"/>
  <c r="A72" i="28"/>
  <c r="B73" i="28"/>
  <c r="AE72" i="28" l="1" a="1"/>
  <c r="AE72" i="28" s="1"/>
  <c r="B88" i="7"/>
  <c r="AC73" i="28"/>
  <c r="AD73" i="28" s="1"/>
  <c r="B74" i="28"/>
  <c r="A73" i="28"/>
  <c r="E73" i="28"/>
  <c r="C72" i="28"/>
  <c r="C87" i="7" s="1"/>
  <c r="A87" i="7"/>
  <c r="AE73" i="28" l="1" a="1"/>
  <c r="AE73" i="28" s="1"/>
  <c r="C73" i="28"/>
  <c r="C88" i="7" s="1"/>
  <c r="A88" i="7"/>
  <c r="B89" i="7"/>
  <c r="AC74" i="28"/>
  <c r="AD74" i="28" s="1"/>
  <c r="B75" i="28"/>
  <c r="A74" i="28"/>
  <c r="AE74" i="28" l="1" a="1"/>
  <c r="AE74" i="28" s="1"/>
  <c r="A89" i="7"/>
  <c r="B90" i="7"/>
  <c r="AC75" i="28"/>
  <c r="AD75" i="28" s="1"/>
  <c r="AE75" i="28" s="1" a="1"/>
  <c r="AE75" i="28" s="1"/>
  <c r="B76" i="28"/>
  <c r="A75" i="28"/>
  <c r="A90" i="7" l="1"/>
  <c r="B91" i="7"/>
  <c r="AC76" i="28"/>
  <c r="AD76" i="28" s="1"/>
  <c r="AE76" i="28" s="1" a="1"/>
  <c r="AE76" i="28" s="1"/>
  <c r="A76" i="28"/>
  <c r="B77" i="28"/>
  <c r="B92" i="7" l="1"/>
  <c r="AC77" i="28"/>
  <c r="AD77" i="28" s="1"/>
  <c r="A77" i="28"/>
  <c r="B78" i="28"/>
  <c r="A91" i="7"/>
  <c r="A92" i="7" l="1"/>
  <c r="B93" i="7"/>
  <c r="AC78" i="28"/>
  <c r="A78" i="28"/>
  <c r="B79" i="28"/>
  <c r="AD78" i="28"/>
  <c r="AE77" i="28" a="1"/>
  <c r="AE77" i="28" s="1"/>
  <c r="AE78" i="28" l="1" a="1"/>
  <c r="AE78" i="28" s="1"/>
  <c r="B94" i="7"/>
  <c r="AC79" i="28"/>
  <c r="AD79" i="28" s="1"/>
  <c r="A79" i="28"/>
  <c r="B80" i="28"/>
  <c r="E79" i="28"/>
  <c r="A93" i="7"/>
  <c r="AE79" i="28" l="1" a="1"/>
  <c r="AE79" i="28" s="1"/>
  <c r="B95" i="7"/>
  <c r="AC80" i="28"/>
  <c r="AD80" i="28" s="1"/>
  <c r="E80" i="28"/>
  <c r="B81" i="28"/>
  <c r="A80" i="28"/>
  <c r="A94" i="7"/>
  <c r="C79" i="28"/>
  <c r="C94" i="7" s="1"/>
  <c r="AE80" i="28" l="1" a="1"/>
  <c r="AE80" i="28" s="1"/>
  <c r="C80" i="28"/>
  <c r="C95" i="7" s="1"/>
  <c r="A95" i="7"/>
  <c r="B96" i="7"/>
  <c r="AC81" i="28"/>
  <c r="AD81" i="28" s="1"/>
  <c r="A81" i="28"/>
  <c r="B82" i="28"/>
  <c r="AE81" i="28" l="1" a="1"/>
  <c r="AE81" i="28" s="1"/>
  <c r="B97" i="7"/>
  <c r="AC82" i="28"/>
  <c r="AD82" i="28" s="1"/>
  <c r="A82" i="28"/>
  <c r="B83" i="28"/>
  <c r="A96" i="7"/>
  <c r="AE82" i="28" l="1" a="1"/>
  <c r="AE82" i="28" s="1"/>
  <c r="A97" i="7"/>
  <c r="B98" i="7"/>
  <c r="AC83" i="28"/>
  <c r="AD83" i="28" s="1"/>
  <c r="B84" i="28"/>
  <c r="A83" i="28"/>
  <c r="AE83" i="28" l="1" a="1"/>
  <c r="AE83" i="28" s="1"/>
  <c r="A98" i="7"/>
  <c r="B99" i="7"/>
  <c r="AC84" i="28"/>
  <c r="AD84" i="28" s="1"/>
  <c r="A84" i="28"/>
  <c r="B85" i="28"/>
  <c r="AE84" i="28" l="1" a="1"/>
  <c r="AE84" i="28" s="1"/>
  <c r="B100" i="7"/>
  <c r="AC85" i="28"/>
  <c r="AD85" i="28" s="1"/>
  <c r="B86" i="28"/>
  <c r="A85" i="28"/>
  <c r="A99" i="7"/>
  <c r="AE85" i="28" l="1" a="1"/>
  <c r="AE85" i="28" s="1"/>
  <c r="A100" i="7"/>
  <c r="B101" i="7"/>
  <c r="AC86" i="28"/>
  <c r="AD86" i="28" s="1"/>
  <c r="E86" i="28"/>
  <c r="A86" i="28"/>
  <c r="B87" i="28"/>
  <c r="AE86" i="28" l="1" a="1"/>
  <c r="AE86" i="28" s="1"/>
  <c r="B102" i="7"/>
  <c r="AC87" i="28"/>
  <c r="AD87" i="28" s="1"/>
  <c r="A87" i="28"/>
  <c r="E87" i="28"/>
  <c r="B88" i="28"/>
  <c r="C86" i="28"/>
  <c r="C101" i="7" s="1"/>
  <c r="A101" i="7"/>
  <c r="AE87" i="28" l="1" a="1"/>
  <c r="AE87" i="28" s="1"/>
  <c r="B103" i="7"/>
  <c r="AC88" i="28"/>
  <c r="AD88" i="28" s="1"/>
  <c r="A88" i="28"/>
  <c r="B89" i="28"/>
  <c r="C87" i="28"/>
  <c r="C102" i="7" s="1"/>
  <c r="A102" i="7"/>
  <c r="AD89" i="28" l="1"/>
  <c r="AE88" i="28" a="1"/>
  <c r="AE88" i="28" s="1"/>
  <c r="A103" i="7"/>
  <c r="B104" i="7"/>
  <c r="AC89" i="28"/>
  <c r="A89" i="28"/>
  <c r="B90" i="28"/>
  <c r="B105" i="7" l="1"/>
  <c r="AC90" i="28"/>
  <c r="B91" i="28"/>
  <c r="A90" i="28"/>
  <c r="A104" i="7"/>
  <c r="AD90" i="28"/>
  <c r="AE89" i="28" a="1"/>
  <c r="AE89" i="28" s="1"/>
  <c r="AE90" i="28" l="1" a="1"/>
  <c r="AE90" i="28" s="1"/>
  <c r="A105" i="7"/>
  <c r="B106" i="7"/>
  <c r="AC91" i="28"/>
  <c r="AD91" i="28" s="1"/>
  <c r="B92" i="28"/>
  <c r="A91" i="28"/>
  <c r="AE91" i="28" l="1" a="1"/>
  <c r="AE91" i="28" s="1"/>
  <c r="A106" i="7"/>
  <c r="B107" i="7"/>
  <c r="AC92" i="28"/>
  <c r="AD92" i="28" s="1"/>
  <c r="B93" i="28"/>
  <c r="A92" i="28"/>
  <c r="AE92" i="28" l="1" a="1"/>
  <c r="AE92" i="28" s="1"/>
  <c r="B108" i="7"/>
  <c r="AC93" i="28"/>
  <c r="AD93" i="28" s="1"/>
  <c r="A93" i="28"/>
  <c r="E93" i="28"/>
  <c r="B94" i="28"/>
  <c r="A107" i="7"/>
  <c r="AE93" i="28" l="1" a="1"/>
  <c r="AE93" i="28" s="1"/>
  <c r="B109" i="7"/>
  <c r="AC94" i="28"/>
  <c r="AD94" i="28" s="1"/>
  <c r="E94" i="28"/>
  <c r="B95" i="28"/>
  <c r="A94" i="28"/>
  <c r="A108" i="7"/>
  <c r="C93" i="28"/>
  <c r="C108" i="7" s="1"/>
  <c r="AE94" i="28" l="1" a="1"/>
  <c r="AE94" i="28" s="1"/>
  <c r="A109" i="7"/>
  <c r="C94" i="28"/>
  <c r="C109" i="7" s="1"/>
  <c r="B110" i="7"/>
  <c r="AC95" i="28"/>
  <c r="AD95" i="28" s="1"/>
  <c r="A95" i="28"/>
  <c r="B96" i="28"/>
  <c r="AE95" i="28" l="1" a="1"/>
  <c r="AE95" i="28" s="1"/>
  <c r="AC96" i="28"/>
  <c r="AD96" i="28" s="1"/>
  <c r="A96" i="28"/>
  <c r="B97" i="28"/>
  <c r="A110" i="7"/>
  <c r="AE96" i="28" l="1" a="1"/>
  <c r="AE96" i="28" s="1"/>
  <c r="AC97" i="28"/>
  <c r="AD97" i="28" s="1"/>
  <c r="A97" i="28"/>
  <c r="B98" i="28"/>
  <c r="AE97" i="28" l="1" a="1"/>
  <c r="AE97" i="28" s="1"/>
  <c r="AC98" i="28"/>
  <c r="AD98" i="28" s="1"/>
  <c r="B99" i="28"/>
  <c r="A98" i="28"/>
  <c r="AE98" i="28" l="1" a="1"/>
  <c r="AE98" i="28" s="1"/>
  <c r="AC99" i="28"/>
  <c r="AD99" i="28" s="1"/>
  <c r="A99" i="28"/>
  <c r="B100" i="28"/>
  <c r="AE99" i="28" l="1" a="1"/>
  <c r="AE99" i="28" s="1"/>
  <c r="AC100" i="28"/>
  <c r="AD100" i="28" s="1"/>
  <c r="B101" i="28"/>
  <c r="E100" i="28"/>
  <c r="A100" i="28"/>
  <c r="C100" i="28" s="1"/>
  <c r="AE100" i="28" l="1" a="1"/>
  <c r="AE100" i="28" s="1"/>
  <c r="AC101" i="28"/>
  <c r="AD101" i="28" s="1"/>
  <c r="B102" i="28"/>
  <c r="A101" i="28"/>
  <c r="C101" i="28" s="1"/>
  <c r="E101" i="28"/>
  <c r="AE101" i="28" l="1" a="1"/>
  <c r="AE101" i="28" s="1"/>
  <c r="AC102" i="28"/>
  <c r="AD102" i="28" s="1"/>
  <c r="B103" i="28"/>
  <c r="A102" i="28"/>
  <c r="AE102" i="28" l="1" a="1"/>
  <c r="AE102" i="28" s="1"/>
  <c r="AC103" i="28"/>
  <c r="AD103" i="28" s="1"/>
  <c r="B104" i="28"/>
  <c r="A103" i="28"/>
  <c r="AE103" i="28" l="1" a="1"/>
  <c r="AE103" i="28" s="1"/>
  <c r="AC104" i="28"/>
  <c r="AD104" i="28" s="1"/>
  <c r="A104" i="28"/>
  <c r="B105" i="28"/>
  <c r="AE104" i="28" l="1" a="1"/>
  <c r="AE104" i="28" s="1"/>
  <c r="AC105" i="28"/>
  <c r="AD105" i="28" s="1"/>
  <c r="B106" i="28"/>
  <c r="A105" i="28"/>
  <c r="AE105" i="28" l="1" a="1"/>
  <c r="AE105" i="28" s="1"/>
  <c r="AC106" i="28"/>
  <c r="AD106" i="28" s="1"/>
  <c r="A106" i="28"/>
  <c r="B107" i="28"/>
  <c r="AE106" i="28" l="1" a="1"/>
  <c r="AE106" i="28" s="1"/>
  <c r="AC107" i="28"/>
  <c r="AD107" i="28" s="1"/>
  <c r="A107" i="28"/>
  <c r="C107" i="28" s="1"/>
  <c r="B108" i="28"/>
  <c r="E107" i="28"/>
  <c r="AE107" i="28" l="1" a="1"/>
  <c r="AE107" i="28" s="1"/>
  <c r="AC108" i="28"/>
  <c r="AD108" i="28" s="1"/>
  <c r="A108" i="28"/>
  <c r="C108" i="28" s="1"/>
  <c r="E108" i="28"/>
  <c r="B109" i="28"/>
  <c r="AE108" i="28" l="1" a="1"/>
  <c r="AE108" i="28" s="1"/>
  <c r="AC109" i="28"/>
  <c r="AD109" i="28" s="1"/>
  <c r="B110" i="28"/>
  <c r="A109" i="28"/>
  <c r="AE109" i="28" l="1" a="1"/>
  <c r="AE109" i="28" s="1"/>
  <c r="AC110" i="28"/>
  <c r="AD110" i="28" s="1"/>
  <c r="B111" i="28"/>
  <c r="A110" i="28"/>
  <c r="AE110" i="28" l="1" a="1"/>
  <c r="AE110" i="28" s="1"/>
  <c r="AC111" i="28"/>
  <c r="AD111" i="28" s="1"/>
  <c r="A111" i="28"/>
  <c r="B112" i="28"/>
  <c r="AE111" i="28" l="1" a="1"/>
  <c r="AE111" i="28" s="1"/>
  <c r="AC112" i="28"/>
  <c r="AD112" i="28" s="1"/>
  <c r="A112" i="28"/>
  <c r="B113" i="28"/>
  <c r="AE112" i="28" l="1" a="1"/>
  <c r="AE112" i="28" s="1"/>
  <c r="AC113" i="28"/>
  <c r="AD113" i="28" s="1"/>
  <c r="A113" i="28"/>
  <c r="B114" i="28"/>
  <c r="AE113" i="28" l="1" a="1"/>
  <c r="AE113" i="28" s="1"/>
  <c r="AC114" i="28"/>
  <c r="AD114" i="28" s="1"/>
  <c r="A114" i="28"/>
  <c r="C114" i="28" s="1"/>
  <c r="B115" i="28"/>
  <c r="E114" i="28"/>
  <c r="AE114" i="28" l="1" a="1"/>
  <c r="AE114" i="28" s="1"/>
  <c r="AC115" i="28"/>
  <c r="AD115" i="28" s="1"/>
  <c r="B116" i="28"/>
  <c r="A115" i="28"/>
  <c r="C115" i="28" s="1"/>
  <c r="E115" i="28"/>
  <c r="AE115" i="28" l="1" a="1"/>
  <c r="AE115" i="28" s="1"/>
  <c r="AC116" i="28"/>
  <c r="AD116" i="28" s="1"/>
  <c r="B117" i="28"/>
  <c r="A116" i="28"/>
  <c r="AE116" i="28" l="1" a="1"/>
  <c r="AE116" i="28" s="1"/>
  <c r="AC117" i="28"/>
  <c r="AD117" i="28" s="1"/>
  <c r="AE117" i="28" s="1" a="1"/>
  <c r="AE117" i="28" s="1"/>
  <c r="B118" i="28"/>
  <c r="A117" i="28"/>
  <c r="AC118" i="28" l="1"/>
  <c r="AD118" i="28" s="1"/>
  <c r="AE118" i="28" s="1" a="1"/>
  <c r="AE118" i="28" s="1"/>
  <c r="B119" i="28"/>
  <c r="A118" i="28"/>
  <c r="AC119" i="28" l="1"/>
  <c r="AD119" i="28" s="1"/>
  <c r="B120" i="28"/>
  <c r="A119" i="28"/>
  <c r="AC120" i="28" l="1"/>
  <c r="A120" i="28"/>
  <c r="B121" i="28"/>
  <c r="AD120" i="28"/>
  <c r="AE120" i="28" s="1" a="1"/>
  <c r="AE120" i="28" s="1"/>
  <c r="AE119" i="28" a="1"/>
  <c r="AE119" i="28" s="1"/>
  <c r="AC121" i="28" l="1"/>
  <c r="AD121" i="28" s="1"/>
  <c r="A121" i="28"/>
  <c r="C121" i="28" s="1"/>
  <c r="B122" i="28"/>
  <c r="E121" i="28"/>
  <c r="AC122" i="28" l="1"/>
  <c r="E122" i="28"/>
  <c r="B123" i="28"/>
  <c r="A122" i="28"/>
  <c r="C122" i="28" s="1"/>
  <c r="AD122" i="28"/>
  <c r="AE121" i="28" a="1"/>
  <c r="AE121" i="28" s="1"/>
  <c r="AE122" i="28" l="1" a="1"/>
  <c r="AE122" i="28" s="1"/>
  <c r="AC123" i="28"/>
  <c r="AD123" i="28" s="1"/>
  <c r="B124" i="28"/>
  <c r="A123" i="28"/>
  <c r="AD124" i="28" l="1"/>
  <c r="AE123" i="28" a="1"/>
  <c r="AE123" i="28" s="1"/>
  <c r="AC124" i="28"/>
  <c r="B125" i="28"/>
  <c r="A124" i="28"/>
  <c r="AC125" i="28" l="1"/>
  <c r="A125" i="28"/>
  <c r="B126" i="28"/>
  <c r="AD125" i="28"/>
  <c r="AE124" i="28" a="1"/>
  <c r="AE124" i="28" s="1"/>
  <c r="AE125" i="28" l="1" a="1"/>
  <c r="AE125" i="28" s="1"/>
  <c r="AC126" i="28"/>
  <c r="AD126" i="28" s="1"/>
  <c r="AE126" i="28" s="1" a="1"/>
  <c r="AE126" i="28" s="1"/>
  <c r="B127" i="28"/>
  <c r="A126" i="28"/>
  <c r="AC127" i="28" l="1"/>
  <c r="AD127" i="28" s="1"/>
  <c r="AE127" i="28" s="1" a="1"/>
  <c r="AE127" i="28" s="1"/>
  <c r="B128" i="28"/>
  <c r="A127" i="28"/>
  <c r="AC128" i="28" l="1"/>
  <c r="AD128" i="28" s="1"/>
  <c r="E128" i="28"/>
  <c r="B129" i="28"/>
  <c r="A128" i="28"/>
  <c r="C128" i="28" s="1"/>
  <c r="AC129" i="28" l="1"/>
  <c r="A129" i="28"/>
  <c r="C129" i="28" s="1"/>
  <c r="E129" i="28"/>
  <c r="B130" i="28"/>
  <c r="AD129" i="28"/>
  <c r="AE128" i="28" a="1"/>
  <c r="AE128" i="28" s="1"/>
  <c r="AE129" i="28" l="1" a="1"/>
  <c r="AE129" i="28" s="1"/>
  <c r="AC130" i="28"/>
  <c r="AD130" i="28" s="1"/>
  <c r="B131" i="28"/>
  <c r="A130" i="28"/>
  <c r="AE130" i="28" l="1" a="1"/>
  <c r="AE130" i="28" s="1"/>
  <c r="AC131" i="28"/>
  <c r="AD131" i="28" s="1"/>
  <c r="B132" i="28"/>
  <c r="A131" i="28"/>
  <c r="AE131" i="28" l="1" a="1"/>
  <c r="AE131" i="28" s="1"/>
  <c r="AC132" i="28"/>
  <c r="AD132" i="28" s="1"/>
  <c r="B133" i="28"/>
  <c r="A132" i="28"/>
  <c r="AE132" i="28" l="1" a="1"/>
  <c r="AE132" i="28" s="1"/>
  <c r="AC133" i="28"/>
  <c r="AD133" i="28" s="1"/>
  <c r="A133" i="28"/>
  <c r="B134" i="28"/>
  <c r="AE133" i="28" l="1" a="1"/>
  <c r="AE133" i="28" s="1"/>
  <c r="AC134" i="28"/>
  <c r="AD134" i="28" s="1"/>
  <c r="A134" i="28"/>
  <c r="B135" i="28"/>
  <c r="AE134" i="28" l="1" a="1"/>
  <c r="AE134" i="28" s="1"/>
  <c r="AC135" i="28"/>
  <c r="AD135" i="28" s="1"/>
  <c r="A135" i="28"/>
  <c r="C135" i="28" s="1"/>
  <c r="B136" i="28"/>
  <c r="E135" i="28"/>
  <c r="AE135" i="28" l="1" a="1"/>
  <c r="AE135" i="28" s="1"/>
  <c r="AC136" i="28"/>
  <c r="AD136" i="28" s="1"/>
  <c r="B137" i="28"/>
  <c r="A136" i="28"/>
  <c r="C136" i="28" s="1"/>
  <c r="E136" i="28"/>
  <c r="AE136" i="28" l="1" a="1"/>
  <c r="AE136" i="28" s="1"/>
  <c r="AC137" i="28"/>
  <c r="AD137" i="28" s="1"/>
  <c r="B138" i="28"/>
  <c r="A137" i="28"/>
  <c r="AE137" i="28" l="1" a="1"/>
  <c r="AE137" i="28" s="1"/>
  <c r="AC138" i="28"/>
  <c r="AD138" i="28" s="1"/>
  <c r="B139" i="28"/>
  <c r="A138" i="28"/>
  <c r="AE138" i="28" l="1" a="1"/>
  <c r="AE138" i="28" s="1"/>
  <c r="AC139" i="28"/>
  <c r="AD139" i="28" s="1"/>
  <c r="A139" i="28"/>
  <c r="B140" i="28"/>
  <c r="AE139" i="28" l="1" a="1"/>
  <c r="AE139" i="28" s="1"/>
  <c r="AC140" i="28"/>
  <c r="AD140" i="28" s="1"/>
  <c r="A140" i="28"/>
  <c r="B141" i="28"/>
  <c r="AD141" i="28" l="1"/>
  <c r="AE140" i="28" a="1"/>
  <c r="AE140" i="28" s="1"/>
  <c r="AC141" i="28"/>
  <c r="B142" i="28"/>
  <c r="A141" i="28"/>
  <c r="AC142" i="28" l="1"/>
  <c r="E142" i="28"/>
  <c r="B143" i="28"/>
  <c r="A142" i="28"/>
  <c r="C142" i="28" s="1"/>
  <c r="AD142" i="28"/>
  <c r="AE141" i="28" a="1"/>
  <c r="AE141" i="28" s="1"/>
  <c r="AE142" i="28" l="1" a="1"/>
  <c r="AE142" i="28" s="1"/>
  <c r="AC143" i="28"/>
  <c r="AD143" i="28" s="1"/>
  <c r="A143" i="28"/>
  <c r="C143" i="28" s="1"/>
  <c r="E143" i="28"/>
  <c r="B144" i="28"/>
  <c r="AD144" i="28" l="1"/>
  <c r="AE143" i="28" a="1"/>
  <c r="AE143" i="28" s="1"/>
  <c r="AC144" i="28"/>
  <c r="B145" i="28"/>
  <c r="A144" i="28"/>
  <c r="AC145" i="28" l="1"/>
  <c r="B146" i="28"/>
  <c r="A145" i="28"/>
  <c r="AD145" i="28"/>
  <c r="AE144" i="28" a="1"/>
  <c r="AE144" i="28" s="1"/>
  <c r="AE145" i="28" l="1" a="1"/>
  <c r="AE145" i="28" s="1"/>
  <c r="AC146" i="28"/>
  <c r="AD146" i="28" s="1"/>
  <c r="B147" i="28"/>
  <c r="A146" i="28"/>
  <c r="AE146" i="28" l="1" a="1"/>
  <c r="AE146" i="28" s="1"/>
  <c r="AC147" i="28"/>
  <c r="AD147" i="28" s="1"/>
  <c r="B148" i="28"/>
  <c r="A147" i="28"/>
  <c r="AE147" i="28" l="1" a="1"/>
  <c r="AE147" i="28" s="1"/>
  <c r="AC148" i="28"/>
  <c r="AD148" i="28" s="1"/>
  <c r="A148" i="28"/>
  <c r="B149" i="28"/>
  <c r="AE148" i="28" l="1" a="1"/>
  <c r="AE148" i="28" s="1"/>
  <c r="AC149" i="28"/>
  <c r="AD149" i="28" s="1"/>
  <c r="A149" i="28"/>
  <c r="C149" i="28" s="1"/>
  <c r="B150" i="28"/>
  <c r="E149" i="28"/>
  <c r="AE149" i="28" l="1" a="1"/>
  <c r="AE149" i="28" s="1"/>
  <c r="AC150" i="28"/>
  <c r="AD150" i="28" s="1"/>
  <c r="A150" i="28"/>
  <c r="C150" i="28" s="1"/>
  <c r="B151" i="28"/>
  <c r="E150" i="28"/>
  <c r="AE150" i="28" l="1" a="1"/>
  <c r="AE150" i="28" s="1"/>
  <c r="AC151" i="28"/>
  <c r="AD151" i="28" s="1"/>
  <c r="B152" i="28"/>
  <c r="A151" i="28"/>
  <c r="AE151" i="28" l="1" a="1"/>
  <c r="AE151" i="28" s="1"/>
  <c r="AC152" i="28"/>
  <c r="AD152" i="28" s="1"/>
  <c r="A152" i="28"/>
  <c r="B153" i="28"/>
  <c r="AE152" i="28" l="1" a="1"/>
  <c r="AE152" i="28" s="1"/>
  <c r="AC153" i="28"/>
  <c r="AD153" i="28" s="1"/>
  <c r="B154" i="28"/>
  <c r="A153" i="28"/>
  <c r="AD154" i="28" l="1"/>
  <c r="AE153" i="28" a="1"/>
  <c r="AE153" i="28" s="1"/>
  <c r="AC154" i="28"/>
  <c r="A154" i="28"/>
  <c r="B155" i="28"/>
  <c r="AC155" i="28" l="1"/>
  <c r="B156" i="28"/>
  <c r="A155" i="28"/>
  <c r="AD155" i="28"/>
  <c r="AE154" i="28" a="1"/>
  <c r="AE154" i="28" s="1"/>
  <c r="AD156" i="28" l="1"/>
  <c r="AE155" i="28" a="1"/>
  <c r="AE155" i="28" s="1"/>
  <c r="AC156" i="28"/>
  <c r="B157" i="28"/>
  <c r="A156" i="28"/>
  <c r="C156" i="28" s="1"/>
  <c r="E156" i="28"/>
  <c r="AC157" i="28" l="1"/>
  <c r="B158" i="28"/>
  <c r="E157" i="28"/>
  <c r="A157" i="28"/>
  <c r="C157" i="28" s="1"/>
  <c r="AD157" i="28"/>
  <c r="AE156" i="28" a="1"/>
  <c r="AE156" i="28" s="1"/>
  <c r="AE157" i="28" l="1" a="1"/>
  <c r="AE157" i="28" s="1"/>
  <c r="AC158" i="28"/>
  <c r="AD158" i="28" s="1"/>
  <c r="B159" i="28"/>
  <c r="A158" i="28"/>
  <c r="AE158" i="28" l="1" a="1"/>
  <c r="AE158" i="28" s="1"/>
  <c r="AC159" i="28"/>
  <c r="AD159" i="28" s="1"/>
  <c r="A159" i="28"/>
  <c r="B160" i="28"/>
  <c r="AE159" i="28" l="1" a="1"/>
  <c r="AE159" i="28" s="1"/>
  <c r="AC160" i="28"/>
  <c r="AD160" i="28" s="1"/>
  <c r="B161" i="28"/>
  <c r="A160" i="28"/>
  <c r="AE160" i="28" l="1" a="1"/>
  <c r="AE160" i="28" s="1"/>
  <c r="AC161" i="28"/>
  <c r="AD161" i="28" s="1"/>
  <c r="B162" i="28"/>
  <c r="A161" i="28"/>
  <c r="AE161" i="28" l="1" a="1"/>
  <c r="AE161" i="28" s="1"/>
  <c r="AC162" i="28"/>
  <c r="AD162" i="28" s="1"/>
  <c r="A162" i="28"/>
  <c r="B163" i="28"/>
  <c r="AE162" i="28" l="1" a="1"/>
  <c r="AE162" i="28" s="1"/>
  <c r="AC163" i="28"/>
  <c r="AD163" i="28" s="1"/>
  <c r="A163" i="28"/>
  <c r="C163" i="28" s="1"/>
  <c r="E163" i="28"/>
  <c r="B164" i="28"/>
  <c r="AE163" i="28" l="1" a="1"/>
  <c r="AE163" i="28" s="1"/>
  <c r="AC164" i="28"/>
  <c r="AD164" i="28" s="1"/>
  <c r="B165" i="28"/>
  <c r="A164" i="28"/>
  <c r="C164" i="28" s="1"/>
  <c r="E164" i="28"/>
  <c r="AE164" i="28" l="1" a="1"/>
  <c r="AE164" i="28" s="1"/>
  <c r="AC165" i="28"/>
  <c r="AD165" i="28" s="1"/>
  <c r="B166" i="28"/>
  <c r="A165" i="28"/>
  <c r="AE165" i="28" l="1" a="1"/>
  <c r="AE165" i="28" s="1"/>
  <c r="AC166" i="28"/>
  <c r="AD166" i="28" s="1"/>
  <c r="AE166" i="28" s="1" a="1"/>
  <c r="AE166" i="28" s="1"/>
  <c r="B167" i="28"/>
  <c r="A166" i="28"/>
  <c r="AC167" i="28" l="1"/>
  <c r="AD167" i="28" s="1"/>
  <c r="AE167" i="28" s="1" a="1"/>
  <c r="AE167" i="28" s="1"/>
  <c r="B168" i="28"/>
  <c r="A167" i="28"/>
  <c r="AC168" i="28" l="1"/>
  <c r="AD168" i="28" s="1"/>
  <c r="AE168" i="28" s="1" a="1"/>
  <c r="AE168" i="28" s="1"/>
  <c r="A168" i="28"/>
  <c r="B169" i="28"/>
  <c r="AC169" i="28" l="1"/>
  <c r="AD169" i="28" s="1"/>
  <c r="A169" i="28"/>
  <c r="B170" i="28"/>
  <c r="AC170" i="28" l="1"/>
  <c r="B171" i="28"/>
  <c r="A170" i="28"/>
  <c r="C170" i="28" s="1"/>
  <c r="E170" i="28"/>
  <c r="AD170" i="28"/>
  <c r="AE169" i="28" a="1"/>
  <c r="AE169" i="28" s="1"/>
  <c r="AE170" i="28" l="1" a="1"/>
  <c r="AE170" i="28" s="1"/>
  <c r="AC171" i="28"/>
  <c r="AD171" i="28" s="1"/>
  <c r="A171" i="28"/>
  <c r="C171" i="28" s="1"/>
  <c r="B172" i="28"/>
  <c r="E171" i="28"/>
  <c r="AE171" i="28" l="1" a="1"/>
  <c r="AE171" i="28" s="1"/>
  <c r="AC172" i="28"/>
  <c r="AD172" i="28" s="1"/>
  <c r="A172" i="28"/>
  <c r="B173" i="28"/>
  <c r="AE172" i="28" l="1" a="1"/>
  <c r="AE172" i="28" s="1"/>
  <c r="AC173" i="28"/>
  <c r="AD173" i="28" s="1"/>
  <c r="B174" i="28"/>
  <c r="A173" i="28"/>
  <c r="AD174" i="28" l="1"/>
  <c r="AE173" i="28" a="1"/>
  <c r="AE173" i="28" s="1"/>
  <c r="AC174" i="28"/>
  <c r="B175" i="28"/>
  <c r="A174" i="28"/>
  <c r="AC175" i="28" l="1"/>
  <c r="A175" i="28"/>
  <c r="B176" i="28"/>
  <c r="AD175" i="28"/>
  <c r="AE174" i="28" a="1"/>
  <c r="AE174" i="28" s="1"/>
  <c r="AE175" i="28" l="1" a="1"/>
  <c r="AE175" i="28" s="1"/>
  <c r="AC176" i="28"/>
  <c r="AD176" i="28" s="1"/>
  <c r="AE176" i="28" s="1" a="1"/>
  <c r="AE176" i="28" s="1"/>
  <c r="A176" i="28"/>
  <c r="B177" i="28"/>
  <c r="AC177" i="28" l="1"/>
  <c r="AD177" i="28" s="1"/>
  <c r="A177" i="28"/>
  <c r="C177" i="28" s="1"/>
  <c r="B178" i="28"/>
  <c r="E177" i="28"/>
  <c r="AC178" i="28" l="1"/>
  <c r="A178" i="28"/>
  <c r="C178" i="28" s="1"/>
  <c r="E178" i="28"/>
  <c r="B179" i="28"/>
  <c r="AD178" i="28"/>
  <c r="AE177" i="28" a="1"/>
  <c r="AE177" i="28" s="1"/>
  <c r="AE178" i="28" l="1" a="1"/>
  <c r="AE178" i="28" s="1"/>
  <c r="AC179" i="28"/>
  <c r="AD179" i="28" s="1"/>
  <c r="A179" i="28"/>
  <c r="B180" i="28"/>
  <c r="AE179" i="28" l="1" a="1"/>
  <c r="AE179" i="28" s="1"/>
  <c r="AC180" i="28"/>
  <c r="AD180" i="28" s="1"/>
  <c r="A180" i="28"/>
  <c r="B181" i="28"/>
  <c r="AE180" i="28" l="1" a="1"/>
  <c r="AE180" i="28" s="1"/>
  <c r="AC181" i="28"/>
  <c r="AD181" i="28" s="1"/>
  <c r="AE181" i="28" s="1" a="1"/>
  <c r="AE181" i="28" s="1"/>
  <c r="B182" i="28"/>
  <c r="A181" i="28"/>
  <c r="AC182" i="28" l="1"/>
  <c r="AD182" i="28" s="1"/>
  <c r="AE182" i="28" s="1" a="1"/>
  <c r="AE182" i="28" s="1"/>
  <c r="B183" i="28"/>
  <c r="A182" i="28"/>
  <c r="AC183" i="28" l="1"/>
  <c r="AD183" i="28" s="1"/>
  <c r="AE183" i="28" s="1" a="1"/>
  <c r="AE183" i="28" s="1"/>
  <c r="B184" i="28"/>
  <c r="A183" i="28"/>
  <c r="AC184" i="28" l="1"/>
  <c r="AD184" i="28" s="1"/>
  <c r="AE184" i="28" s="1" a="1"/>
  <c r="AE184" i="28" s="1"/>
  <c r="B185" i="28"/>
  <c r="E184" i="28"/>
  <c r="A184" i="28"/>
  <c r="C184" i="28" s="1"/>
  <c r="AC185" i="28" l="1"/>
  <c r="AD185" i="28" s="1"/>
  <c r="B186" i="28"/>
  <c r="A185" i="28"/>
  <c r="C185" i="28" s="1"/>
  <c r="E185" i="28"/>
  <c r="AC186" i="28" l="1"/>
  <c r="B187" i="28"/>
  <c r="A186" i="28"/>
  <c r="AD186" i="28"/>
  <c r="AE185" i="28" a="1"/>
  <c r="AE185" i="28" s="1"/>
  <c r="AD187" i="28" l="1"/>
  <c r="AE186" i="28" a="1"/>
  <c r="AE186" i="28" s="1"/>
  <c r="AC187" i="28"/>
  <c r="B188" i="28"/>
  <c r="A187" i="28"/>
  <c r="AE187" i="28" l="1" a="1"/>
  <c r="AE187" i="28" s="1"/>
  <c r="AC188" i="28"/>
  <c r="AD188" i="28" s="1"/>
  <c r="B189" i="28"/>
  <c r="A188" i="28"/>
  <c r="AD189" i="28" l="1"/>
  <c r="AE188" i="28" a="1"/>
  <c r="AE188" i="28" s="1"/>
  <c r="AC189" i="28"/>
  <c r="B190" i="28"/>
  <c r="A189" i="28"/>
  <c r="AC190" i="28" l="1"/>
  <c r="A190" i="28"/>
  <c r="B191" i="28"/>
  <c r="AD190" i="28"/>
  <c r="AE189" i="28" a="1"/>
  <c r="AE189" i="28" s="1"/>
  <c r="AD191" i="28" l="1"/>
  <c r="AE190" i="28" a="1"/>
  <c r="AE190" i="28" s="1"/>
  <c r="AC191" i="28"/>
  <c r="A191" i="28"/>
  <c r="C191" i="28" s="1"/>
  <c r="E191" i="28"/>
  <c r="B192" i="28"/>
  <c r="AC192" i="28" l="1"/>
  <c r="A192" i="28"/>
  <c r="C192" i="28" s="1"/>
  <c r="E192" i="28"/>
  <c r="B193" i="28"/>
  <c r="AD192" i="28"/>
  <c r="AE191" i="28" a="1"/>
  <c r="AE191" i="28" s="1"/>
  <c r="AD193" i="28" l="1"/>
  <c r="AE192" i="28" a="1"/>
  <c r="AE192" i="28" s="1"/>
  <c r="AC193" i="28"/>
  <c r="A193" i="28"/>
  <c r="B194" i="28"/>
  <c r="AE193" i="28" l="1" a="1"/>
  <c r="AE193" i="28" s="1"/>
  <c r="AC194" i="28"/>
  <c r="AD194" i="28" s="1"/>
  <c r="B195" i="28"/>
  <c r="A194" i="28"/>
  <c r="AD195" i="28" l="1"/>
  <c r="AE194" i="28" a="1"/>
  <c r="AE194" i="28" s="1"/>
  <c r="AC195" i="28"/>
  <c r="A195" i="28"/>
  <c r="B196" i="28"/>
  <c r="AC196" i="28" l="1"/>
  <c r="B197" i="28"/>
  <c r="A196" i="28"/>
  <c r="AD196" i="28"/>
  <c r="AE195" i="28" a="1"/>
  <c r="AE195" i="28" s="1"/>
  <c r="AE196" i="28" l="1" a="1"/>
  <c r="AE196" i="28" s="1"/>
  <c r="AC197" i="28"/>
  <c r="AD197" i="28" s="1"/>
  <c r="A197" i="28"/>
  <c r="B198" i="28"/>
  <c r="AE197" i="28" l="1" a="1"/>
  <c r="AE197" i="28" s="1"/>
  <c r="AC198" i="28"/>
  <c r="AD198" i="28" s="1"/>
  <c r="B199" i="28"/>
  <c r="E198" i="28"/>
  <c r="A198" i="28"/>
  <c r="C198" i="28" s="1"/>
  <c r="AE198" i="28" l="1" a="1"/>
  <c r="AE198" i="28" s="1"/>
  <c r="AC199" i="28"/>
  <c r="AD199" i="28" s="1"/>
  <c r="E199" i="28"/>
  <c r="B200" i="28"/>
  <c r="A199" i="28"/>
  <c r="C199" i="28" s="1"/>
  <c r="AE199" i="28" l="1" a="1"/>
  <c r="AE199" i="28" s="1"/>
  <c r="AC200" i="28"/>
  <c r="AD200" i="28" s="1"/>
  <c r="A200" i="28"/>
  <c r="B201" i="28"/>
  <c r="AE200" i="28" l="1" a="1"/>
  <c r="AE200" i="28" s="1"/>
  <c r="AC201" i="28"/>
  <c r="AD201" i="28" s="1"/>
  <c r="B202" i="28"/>
  <c r="A201" i="28"/>
  <c r="AE201" i="28" l="1" a="1"/>
  <c r="AE201" i="28" s="1"/>
  <c r="AC202" i="28"/>
  <c r="AD202" i="28" s="1"/>
  <c r="B203" i="28"/>
  <c r="A202" i="28"/>
  <c r="AE202" i="28" l="1" a="1"/>
  <c r="AE202" i="28" s="1"/>
  <c r="AC203" i="28"/>
  <c r="AD203" i="28" s="1"/>
  <c r="B204" i="28"/>
  <c r="A203" i="28"/>
  <c r="AE203" i="28" l="1" a="1"/>
  <c r="AE203" i="28" s="1"/>
  <c r="AC204" i="28"/>
  <c r="AD204" i="28" s="1"/>
  <c r="B205" i="28"/>
  <c r="A204" i="28"/>
  <c r="AE204" i="28" l="1" a="1"/>
  <c r="AE204" i="28" s="1"/>
  <c r="AC205" i="28"/>
  <c r="AD205" i="28" s="1"/>
  <c r="B206" i="28"/>
  <c r="A205" i="28"/>
  <c r="C205" i="28" s="1"/>
  <c r="E205" i="28"/>
  <c r="AE205" i="28" l="1" a="1"/>
  <c r="AE205" i="28" s="1"/>
  <c r="AC206" i="28"/>
  <c r="AD206" i="28" s="1"/>
  <c r="A206" i="28"/>
  <c r="C206" i="28" s="1"/>
  <c r="B207" i="28"/>
  <c r="E206" i="28"/>
  <c r="AE206" i="28" l="1" a="1"/>
  <c r="AE206" i="28" s="1"/>
  <c r="AC207" i="28"/>
  <c r="AD207" i="28" s="1"/>
  <c r="B208" i="28"/>
  <c r="A207" i="28"/>
  <c r="AE207" i="28" l="1" a="1"/>
  <c r="AE207" i="28" s="1"/>
  <c r="AC208" i="28"/>
  <c r="AD208" i="28" s="1"/>
  <c r="AE208" i="28" s="1" a="1"/>
  <c r="AE208" i="28" s="1"/>
  <c r="A208" i="28"/>
  <c r="B209" i="28"/>
  <c r="AC209" i="28" l="1"/>
  <c r="AD209" i="28" s="1"/>
  <c r="AE209" i="28" s="1" a="1"/>
  <c r="AE209" i="28" s="1"/>
  <c r="A209" i="28"/>
  <c r="B210" i="28"/>
  <c r="AC210" i="28" l="1"/>
  <c r="AD210" i="28" s="1"/>
  <c r="A210" i="28"/>
  <c r="B211" i="28"/>
  <c r="AC211" i="28" l="1"/>
  <c r="A211" i="28"/>
  <c r="B212" i="28"/>
  <c r="AD211" i="28"/>
  <c r="AE210" i="28" a="1"/>
  <c r="AE210" i="28" s="1"/>
  <c r="AE211" i="28" l="1" a="1"/>
  <c r="AE211" i="28" s="1"/>
  <c r="AC212" i="28"/>
  <c r="AD212" i="28" s="1"/>
  <c r="B213" i="28"/>
  <c r="A212" i="28"/>
  <c r="C212" i="28" s="1"/>
  <c r="E212" i="28"/>
  <c r="AE212" i="28" l="1" a="1"/>
  <c r="AE212" i="28" s="1"/>
  <c r="AC213" i="28"/>
  <c r="AD213" i="28" s="1"/>
  <c r="B214" i="28"/>
  <c r="E213" i="28"/>
  <c r="A213" i="28"/>
  <c r="C213" i="28" s="1"/>
  <c r="AE213" i="28" l="1" a="1"/>
  <c r="AE213" i="28" s="1"/>
  <c r="AC214" i="28"/>
  <c r="AD214" i="28" s="1"/>
  <c r="B215" i="28"/>
  <c r="A214" i="28"/>
  <c r="AE214" i="28" l="1" a="1"/>
  <c r="AE214" i="28" s="1"/>
  <c r="AC215" i="28"/>
  <c r="AD215" i="28" s="1"/>
  <c r="B216" i="28"/>
  <c r="A215" i="28"/>
  <c r="AE215" i="28" l="1" a="1"/>
  <c r="AE215" i="28" s="1"/>
  <c r="AC216" i="28"/>
  <c r="AD216" i="28" s="1"/>
  <c r="B217" i="28"/>
  <c r="A216" i="28"/>
  <c r="AE216" i="28" l="1" a="1"/>
  <c r="AE216" i="28" s="1"/>
  <c r="AC217" i="28"/>
  <c r="AD217" i="28" s="1"/>
  <c r="A217" i="28"/>
  <c r="B218" i="28"/>
  <c r="AE217" i="28" l="1" a="1"/>
  <c r="AE217" i="28" s="1"/>
  <c r="AC218" i="28"/>
  <c r="AD218" i="28" s="1"/>
  <c r="A218" i="28"/>
  <c r="B219" i="28"/>
  <c r="AE218" i="28" l="1" a="1"/>
  <c r="AE218" i="28" s="1"/>
  <c r="AC219" i="28"/>
  <c r="AD219" i="28" s="1"/>
  <c r="E219" i="28"/>
  <c r="A219" i="28"/>
  <c r="C219" i="28" s="1"/>
  <c r="B220" i="28"/>
  <c r="AE219" i="28" l="1" a="1"/>
  <c r="AE219" i="28" s="1"/>
  <c r="AC220" i="28"/>
  <c r="AD220" i="28" s="1"/>
  <c r="B221" i="28"/>
  <c r="E220" i="28"/>
  <c r="A220" i="28"/>
  <c r="C220" i="28" s="1"/>
  <c r="AE220" i="28" l="1" a="1"/>
  <c r="AE220" i="28" s="1"/>
  <c r="AC221" i="28"/>
  <c r="AD221" i="28" s="1"/>
  <c r="B222" i="28"/>
  <c r="A221" i="28"/>
  <c r="AE221" i="28" l="1" a="1"/>
  <c r="AE221" i="28" s="1"/>
  <c r="AC222" i="28"/>
  <c r="AD222" i="28" s="1"/>
  <c r="A222" i="28"/>
  <c r="B223" i="28"/>
  <c r="AE222" i="28" l="1" a="1"/>
  <c r="AE222" i="28" s="1"/>
  <c r="AC223" i="28"/>
  <c r="AD223" i="28" s="1"/>
  <c r="B224" i="28"/>
  <c r="A223" i="28"/>
  <c r="AE223" i="28" l="1" a="1"/>
  <c r="AE223" i="28" s="1"/>
  <c r="AC224" i="28"/>
  <c r="AD224" i="28" s="1"/>
  <c r="B225" i="28"/>
  <c r="A224" i="28"/>
  <c r="AE224" i="28" l="1" a="1"/>
  <c r="AE224" i="28" s="1"/>
  <c r="AC225" i="28"/>
  <c r="AD225" i="28" s="1"/>
  <c r="A225" i="28"/>
  <c r="B226" i="28"/>
  <c r="AE225" i="28" l="1" a="1"/>
  <c r="AE225" i="28" s="1"/>
  <c r="AC226" i="28"/>
  <c r="AD226" i="28" s="1"/>
  <c r="A226" i="28"/>
  <c r="C226" i="28" s="1"/>
  <c r="E226" i="28"/>
  <c r="B227" i="28"/>
  <c r="AE226" i="28" l="1" a="1"/>
  <c r="AE226" i="28" s="1"/>
  <c r="AC227" i="28"/>
  <c r="AD227" i="28" s="1"/>
  <c r="A227" i="28"/>
  <c r="C227" i="28" s="1"/>
  <c r="B228" i="28"/>
  <c r="E227" i="28"/>
  <c r="AE227" i="28" l="1" a="1"/>
  <c r="AE227" i="28" s="1"/>
  <c r="AC228" i="28"/>
  <c r="AD228" i="28" s="1"/>
  <c r="B229" i="28"/>
  <c r="A228" i="28"/>
  <c r="AE228" i="28" l="1" a="1"/>
  <c r="AE228" i="28" s="1"/>
  <c r="AC229" i="28"/>
  <c r="AD229" i="28" s="1"/>
  <c r="B230" i="28"/>
  <c r="A229" i="28"/>
  <c r="AE229" i="28" l="1" a="1"/>
  <c r="AE229" i="28" s="1"/>
  <c r="AC230" i="28"/>
  <c r="AD230" i="28" s="1"/>
  <c r="A230" i="28"/>
  <c r="B231" i="28"/>
  <c r="AE230" i="28" l="1" a="1"/>
  <c r="AE230" i="28" s="1"/>
  <c r="AC231" i="28"/>
  <c r="AD231" i="28" s="1"/>
  <c r="B232" i="28"/>
  <c r="A231" i="28"/>
  <c r="AE231" i="28" l="1" a="1"/>
  <c r="AE231" i="28" s="1"/>
  <c r="AC232" i="28"/>
  <c r="AD232" i="28" s="1"/>
  <c r="A232" i="28"/>
  <c r="B233" i="28"/>
  <c r="AE232" i="28" l="1" a="1"/>
  <c r="AE232" i="28" s="1"/>
  <c r="AC233" i="28"/>
  <c r="AD233" i="28" s="1"/>
  <c r="A233" i="28"/>
  <c r="C233" i="28" s="1"/>
  <c r="B234" i="28"/>
  <c r="E233" i="28"/>
  <c r="AE233" i="28" l="1" a="1"/>
  <c r="AE233" i="28" s="1"/>
  <c r="AC234" i="28"/>
  <c r="AD234" i="28" s="1"/>
  <c r="E234" i="28"/>
  <c r="B235" i="28"/>
  <c r="A234" i="28"/>
  <c r="C234" i="28" s="1"/>
  <c r="AE234" i="28" l="1" a="1"/>
  <c r="AE234" i="28" s="1"/>
  <c r="AC235" i="28"/>
  <c r="AD235" i="28" s="1"/>
  <c r="B236" i="28"/>
  <c r="A235" i="28"/>
  <c r="AE235" i="28" l="1" a="1"/>
  <c r="AE235" i="28" s="1"/>
  <c r="AC236" i="28"/>
  <c r="AD236" i="28" s="1"/>
  <c r="A236" i="28"/>
  <c r="B237" i="28"/>
  <c r="AE236" i="28" l="1" a="1"/>
  <c r="AE236" i="28" s="1"/>
  <c r="AC237" i="28"/>
  <c r="AD237" i="28" s="1"/>
  <c r="A237" i="28"/>
  <c r="B238" i="28"/>
  <c r="AE237" i="28" l="1" a="1"/>
  <c r="AE237" i="28" s="1"/>
  <c r="AC238" i="28"/>
  <c r="AD238" i="28" s="1"/>
  <c r="B239" i="28"/>
  <c r="A238" i="28"/>
  <c r="AE238" i="28" l="1" a="1"/>
  <c r="AE238" i="28" s="1"/>
  <c r="AC239" i="28"/>
  <c r="AD239" i="28" s="1"/>
  <c r="A239" i="28"/>
  <c r="B240" i="28"/>
  <c r="AE239" i="28" l="1" a="1"/>
  <c r="AE239" i="28" s="1"/>
  <c r="AC240" i="28"/>
  <c r="AD240" i="28" s="1"/>
  <c r="E240" i="28"/>
  <c r="A240" i="28"/>
  <c r="C240" i="28" s="1"/>
  <c r="B241" i="28"/>
  <c r="AE240" i="28" l="1" a="1"/>
  <c r="AE240" i="28" s="1"/>
  <c r="AC241" i="28"/>
  <c r="AD241" i="28" s="1"/>
  <c r="A241" i="28"/>
  <c r="C241" i="28" s="1"/>
  <c r="B242" i="28"/>
  <c r="E241" i="28"/>
  <c r="AE241" i="28" l="1" a="1"/>
  <c r="AE241" i="28" s="1"/>
  <c r="AC242" i="28"/>
  <c r="AD242" i="28" s="1"/>
  <c r="B243" i="28"/>
  <c r="A242" i="28"/>
  <c r="AE242" i="28" l="1" a="1"/>
  <c r="AE242" i="28" s="1"/>
  <c r="AC243" i="28"/>
  <c r="AD243" i="28" s="1"/>
  <c r="B244" i="28"/>
  <c r="A243" i="28"/>
  <c r="AE243" i="28" l="1" a="1"/>
  <c r="AE243" i="28" s="1"/>
  <c r="AC244" i="28"/>
  <c r="AD244" i="28" s="1"/>
  <c r="B245" i="28"/>
  <c r="A244" i="28"/>
  <c r="AE244" i="28" l="1" a="1"/>
  <c r="AE244" i="28" s="1"/>
  <c r="AC245" i="28"/>
  <c r="AD245" i="28" s="1"/>
  <c r="B246" i="28"/>
  <c r="A245" i="28"/>
  <c r="AE245" i="28" l="1" a="1"/>
  <c r="AE245" i="28" s="1"/>
  <c r="AC246" i="28"/>
  <c r="AD246" i="28" s="1"/>
  <c r="A246" i="28"/>
  <c r="B247" i="28"/>
  <c r="AE246" i="28" l="1" a="1"/>
  <c r="AE246" i="28" s="1"/>
  <c r="AC247" i="28"/>
  <c r="AD247" i="28" s="1"/>
  <c r="A247" i="28"/>
  <c r="C247" i="28" s="1"/>
  <c r="B248" i="28"/>
  <c r="E247" i="28"/>
  <c r="AE247" i="28" l="1" a="1"/>
  <c r="AE247" i="28" s="1"/>
  <c r="AC248" i="28"/>
  <c r="AD248" i="28" s="1"/>
  <c r="E248" i="28"/>
  <c r="B249" i="28"/>
  <c r="A248" i="28"/>
  <c r="C248" i="28" s="1"/>
  <c r="AE248" i="28" l="1" a="1"/>
  <c r="AE248" i="28" s="1"/>
  <c r="AC249" i="28"/>
  <c r="AD249" i="28" s="1"/>
  <c r="B250" i="28"/>
  <c r="A249" i="28"/>
  <c r="AE249" i="28" l="1" a="1"/>
  <c r="AE249" i="28" s="1"/>
  <c r="AC250" i="28"/>
  <c r="AD250" i="28" s="1"/>
  <c r="AE250" i="28" s="1" a="1"/>
  <c r="AE250" i="28" s="1"/>
  <c r="B251" i="28"/>
  <c r="A250" i="28"/>
  <c r="AC251" i="28" l="1"/>
  <c r="AD251" i="28" s="1"/>
  <c r="AE251" i="28" s="1" a="1"/>
  <c r="AE251" i="28" s="1"/>
  <c r="B252" i="28"/>
  <c r="A251" i="28"/>
  <c r="AC252" i="28" l="1"/>
  <c r="AD252" i="28" s="1"/>
  <c r="AE252" i="28" s="1" a="1"/>
  <c r="AE252" i="28" s="1"/>
  <c r="B253" i="28"/>
  <c r="A252" i="28"/>
  <c r="AC253" i="28" l="1"/>
  <c r="AD253" i="28" s="1"/>
  <c r="AE253" i="28" s="1" a="1"/>
  <c r="AE253" i="28" s="1"/>
  <c r="B254" i="28"/>
  <c r="A253" i="28"/>
  <c r="AC254" i="28" l="1"/>
  <c r="AD254" i="28" s="1"/>
  <c r="AE254" i="28" s="1" a="1"/>
  <c r="AE254" i="28" s="1"/>
  <c r="E254" i="28"/>
  <c r="B255" i="28"/>
  <c r="A254" i="28"/>
  <c r="C254" i="28" s="1"/>
  <c r="AC255" i="28" l="1"/>
  <c r="AD255" i="28" s="1"/>
  <c r="AE255" i="28" s="1" a="1"/>
  <c r="AE255" i="28" s="1"/>
  <c r="B256" i="28"/>
  <c r="E255" i="28"/>
  <c r="A255" i="28"/>
  <c r="C255" i="28" s="1"/>
  <c r="AC256" i="28" l="1"/>
  <c r="AD256" i="28" s="1"/>
  <c r="AE256" i="28" s="1" a="1"/>
  <c r="AE256" i="28" s="1"/>
  <c r="A256" i="28"/>
  <c r="B257" i="28"/>
  <c r="AC257" i="28" l="1"/>
  <c r="AD257" i="28" s="1"/>
  <c r="B258" i="28"/>
  <c r="A257" i="28"/>
  <c r="AC258" i="28" l="1"/>
  <c r="B259" i="28"/>
  <c r="A258" i="28"/>
  <c r="AD258" i="28"/>
  <c r="AE257" i="28" a="1"/>
  <c r="AE257" i="28" s="1"/>
  <c r="AE258" i="28" l="1" a="1"/>
  <c r="AE258" i="28" s="1"/>
  <c r="AC259" i="28"/>
  <c r="AD259" i="28" s="1"/>
  <c r="A259" i="28"/>
  <c r="B260" i="28"/>
  <c r="AE259" i="28" l="1" a="1"/>
  <c r="AE259" i="28" s="1"/>
  <c r="AC260" i="28"/>
  <c r="AD260" i="28" s="1"/>
  <c r="AE260" i="28" s="1" a="1"/>
  <c r="AE260" i="28" s="1"/>
  <c r="A260" i="28"/>
  <c r="B261" i="28"/>
  <c r="AC261" i="28" l="1"/>
  <c r="AD261" i="28" s="1"/>
  <c r="A261" i="28"/>
  <c r="C261" i="28" s="1"/>
  <c r="B262" i="28"/>
  <c r="E261" i="28"/>
  <c r="AC262" i="28" l="1"/>
  <c r="A262" i="28"/>
  <c r="C262" i="28" s="1"/>
  <c r="E262" i="28"/>
  <c r="B263" i="28"/>
  <c r="AD262" i="28"/>
  <c r="AE261" i="28" a="1"/>
  <c r="AE261" i="28" s="1"/>
  <c r="AE262" i="28" l="1" a="1"/>
  <c r="AE262" i="28" s="1"/>
  <c r="AC263" i="28"/>
  <c r="AD263" i="28" s="1"/>
  <c r="B264" i="28"/>
  <c r="A263" i="28"/>
  <c r="AE263" i="28" l="1" a="1"/>
  <c r="AE263" i="28" s="1"/>
  <c r="AC264" i="28"/>
  <c r="AD264" i="28" s="1"/>
  <c r="B265" i="28"/>
  <c r="A264" i="28"/>
  <c r="AE264" i="28" l="1" a="1"/>
  <c r="AE264" i="28" s="1"/>
  <c r="AC265" i="28"/>
  <c r="AD265" i="28" s="1"/>
  <c r="AE265" i="28" s="1" a="1"/>
  <c r="AE265" i="28" s="1"/>
  <c r="B266" i="28"/>
  <c r="A265" i="28"/>
  <c r="AC266" i="28" l="1"/>
  <c r="AD266" i="28" s="1"/>
  <c r="AE266" i="28" s="1" a="1"/>
  <c r="AE266" i="28" s="1"/>
  <c r="A266" i="28"/>
  <c r="B267" i="28"/>
  <c r="AC267" i="28" l="1"/>
  <c r="AD267" i="28" s="1"/>
  <c r="B268" i="28"/>
  <c r="A267" i="28"/>
  <c r="AC268" i="28" l="1"/>
  <c r="A268" i="28"/>
  <c r="C268" i="28" s="1"/>
  <c r="B269" i="28"/>
  <c r="E268" i="28"/>
  <c r="AD268" i="28"/>
  <c r="AE267" i="28" a="1"/>
  <c r="AE267" i="28" s="1"/>
  <c r="AD269" i="28" l="1"/>
  <c r="AE268" i="28" a="1"/>
  <c r="AE268" i="28" s="1"/>
  <c r="AC269" i="28"/>
  <c r="B270" i="28"/>
  <c r="A269" i="28"/>
  <c r="C269" i="28" s="1"/>
  <c r="E269" i="28"/>
  <c r="AC270" i="28" l="1"/>
  <c r="B271" i="28"/>
  <c r="A270" i="28"/>
  <c r="AD270" i="28"/>
  <c r="AE270" i="28" s="1" a="1"/>
  <c r="AE270" i="28" s="1"/>
  <c r="AE269" i="28" a="1"/>
  <c r="AE269" i="28" s="1"/>
  <c r="AC271" i="28" l="1"/>
  <c r="AD271" i="28" s="1"/>
  <c r="B272" i="28"/>
  <c r="A271" i="28"/>
  <c r="AC272" i="28" l="1"/>
  <c r="A272" i="28"/>
  <c r="B273" i="28"/>
  <c r="AD272" i="28"/>
  <c r="AE271" i="28" a="1"/>
  <c r="AE271" i="28" s="1"/>
  <c r="AE272" i="28" l="1" a="1"/>
  <c r="AE272" i="28" s="1"/>
  <c r="AC273" i="28"/>
  <c r="AD273" i="28" s="1"/>
  <c r="A273" i="28"/>
  <c r="B274" i="28"/>
  <c r="AE273" i="28" l="1" a="1"/>
  <c r="AE273" i="28" s="1"/>
  <c r="AC274" i="28"/>
  <c r="AD274" i="28" s="1"/>
  <c r="AE274" i="28" s="1" a="1"/>
  <c r="AE274" i="28" s="1"/>
  <c r="A274" i="28"/>
  <c r="B275" i="28"/>
  <c r="AC275" i="28" l="1"/>
  <c r="AD275" i="28" s="1"/>
  <c r="B276" i="28"/>
  <c r="A275" i="28"/>
  <c r="C275" i="28" s="1"/>
  <c r="E275" i="28"/>
  <c r="AC276" i="28" l="1"/>
  <c r="A276" i="28"/>
  <c r="C276" i="28" s="1"/>
  <c r="E276" i="28"/>
  <c r="B277" i="28"/>
  <c r="AD276" i="28"/>
  <c r="AE275" i="28" a="1"/>
  <c r="AE275" i="28" s="1"/>
  <c r="AE276" i="28" l="1" a="1"/>
  <c r="AE276" i="28" s="1"/>
  <c r="AC277" i="28"/>
  <c r="AD277" i="28" s="1"/>
  <c r="B278" i="28"/>
  <c r="A277" i="28"/>
  <c r="AE277" i="28" l="1" a="1"/>
  <c r="AE277" i="28" s="1"/>
  <c r="AC278" i="28"/>
  <c r="AD278" i="28" s="1"/>
  <c r="A278" i="28"/>
  <c r="B279" i="28"/>
  <c r="AE278" i="28" l="1" a="1"/>
  <c r="AE278" i="28" s="1"/>
  <c r="AC279" i="28"/>
  <c r="AD279" i="28" s="1"/>
  <c r="B280" i="28"/>
  <c r="A279" i="28"/>
  <c r="AE279" i="28" l="1" a="1"/>
  <c r="AE279" i="28" s="1"/>
  <c r="AC280" i="28"/>
  <c r="AD280" i="28" s="1"/>
  <c r="A280" i="28"/>
  <c r="B281" i="28"/>
  <c r="AE280" i="28" l="1" a="1"/>
  <c r="AE280" i="28" s="1"/>
  <c r="AC281" i="28"/>
  <c r="AD281" i="28" s="1"/>
  <c r="B282" i="28"/>
  <c r="A281" i="28"/>
  <c r="AE281" i="28" l="1" a="1"/>
  <c r="AE281" i="28" s="1"/>
  <c r="AC282" i="28"/>
  <c r="AD282" i="28" s="1"/>
  <c r="E282" i="28"/>
  <c r="A282" i="28"/>
  <c r="C282" i="28" s="1"/>
  <c r="B283" i="28"/>
  <c r="AE282" i="28" l="1" a="1"/>
  <c r="AE282" i="28" s="1"/>
  <c r="AC283" i="28"/>
  <c r="AD283" i="28" s="1"/>
  <c r="E283" i="28"/>
  <c r="A283" i="28"/>
  <c r="C283" i="28" s="1"/>
  <c r="B284" i="28"/>
  <c r="AE283" i="28" l="1" a="1"/>
  <c r="AE283" i="28" s="1"/>
  <c r="AC284" i="28"/>
  <c r="AD284" i="28" s="1"/>
  <c r="B285" i="28"/>
  <c r="A284" i="28"/>
  <c r="AE284" i="28" l="1" a="1"/>
  <c r="AE284" i="28" s="1"/>
  <c r="AC285" i="28"/>
  <c r="AD285" i="28" s="1"/>
  <c r="B286" i="28"/>
  <c r="A285" i="28"/>
  <c r="AE285" i="28" l="1" a="1"/>
  <c r="AE285" i="28" s="1"/>
  <c r="AC286" i="28"/>
  <c r="AD286" i="28" s="1"/>
  <c r="A286" i="28"/>
  <c r="B287" i="28"/>
  <c r="AE286" i="28" l="1" a="1"/>
  <c r="AE286" i="28" s="1"/>
  <c r="AC287" i="28"/>
  <c r="AD287" i="28" s="1"/>
  <c r="A287" i="28"/>
  <c r="B288" i="28"/>
  <c r="AE287" i="28" l="1" a="1"/>
  <c r="AE287" i="28" s="1"/>
  <c r="AC288" i="28"/>
  <c r="AD288" i="28" s="1"/>
  <c r="B289" i="28"/>
  <c r="A288" i="28"/>
  <c r="AE288" i="28" l="1" a="1"/>
  <c r="AE288" i="28" s="1"/>
  <c r="AC289" i="28"/>
  <c r="AD289" i="28" s="1"/>
  <c r="A289" i="28"/>
  <c r="C289" i="28" s="1"/>
  <c r="B290" i="28"/>
  <c r="E289" i="28"/>
  <c r="AE289" i="28" l="1" a="1"/>
  <c r="AE289" i="28" s="1"/>
  <c r="AC290" i="28"/>
  <c r="AD290" i="28" s="1"/>
  <c r="E290" i="28"/>
  <c r="A290" i="28"/>
  <c r="C290" i="28" s="1"/>
  <c r="B291" i="28"/>
  <c r="AE290" i="28" l="1" a="1"/>
  <c r="AE290" i="28" s="1"/>
  <c r="AC291" i="28"/>
  <c r="AD291" i="28" s="1"/>
  <c r="B292" i="28"/>
  <c r="A291" i="28"/>
  <c r="AE291" i="28" l="1" a="1"/>
  <c r="AE291" i="28" s="1"/>
  <c r="AC292" i="28"/>
  <c r="AD292" i="28" s="1"/>
  <c r="A292" i="28"/>
  <c r="B293" i="28"/>
  <c r="AE292" i="28" l="1" a="1"/>
  <c r="AE292" i="28" s="1"/>
  <c r="AC293" i="28"/>
  <c r="AD293" i="28" s="1"/>
  <c r="B294" i="28"/>
  <c r="A293" i="28"/>
  <c r="AE293" i="28" l="1" a="1"/>
  <c r="AE293" i="28" s="1"/>
  <c r="AC294" i="28"/>
  <c r="AD294" i="28" s="1"/>
  <c r="A294" i="28"/>
  <c r="B295" i="28"/>
  <c r="AE294" i="28" l="1" a="1"/>
  <c r="AE294" i="28" s="1"/>
  <c r="AC295" i="28"/>
  <c r="AD295" i="28" s="1"/>
  <c r="A295" i="28"/>
  <c r="B296" i="28"/>
  <c r="AE295" i="28" l="1" a="1"/>
  <c r="AE295" i="28" s="1"/>
  <c r="AC296" i="28"/>
  <c r="AD296" i="28" s="1"/>
  <c r="E296" i="28"/>
  <c r="A296" i="28"/>
  <c r="C296" i="28" s="1"/>
  <c r="B297" i="28"/>
  <c r="AE296" i="28" l="1" a="1"/>
  <c r="AE296" i="28" s="1"/>
  <c r="AC297" i="28"/>
  <c r="AD297" i="28" s="1"/>
  <c r="B298" i="28"/>
  <c r="A297" i="28"/>
  <c r="C297" i="28" s="1"/>
  <c r="E297" i="28"/>
  <c r="AE297" i="28" l="1" a="1"/>
  <c r="AE297" i="28" s="1"/>
  <c r="AC298" i="28"/>
  <c r="AD298" i="28" s="1"/>
  <c r="A298" i="28"/>
  <c r="B299" i="28"/>
  <c r="AE298" i="28" l="1" a="1"/>
  <c r="AE298" i="28" s="1"/>
  <c r="AC299" i="28"/>
  <c r="AD299" i="28" s="1"/>
  <c r="AE299" i="28" s="1" a="1"/>
  <c r="AE299" i="28" s="1"/>
  <c r="B300" i="28"/>
  <c r="A299" i="28"/>
  <c r="AC300" i="28" l="1"/>
  <c r="AD300" i="28" s="1"/>
  <c r="AE300" i="28" s="1" a="1"/>
  <c r="AE300" i="28" s="1"/>
  <c r="B301" i="28"/>
  <c r="A300" i="28"/>
  <c r="AC301" i="28" l="1"/>
  <c r="AD301" i="28" s="1"/>
  <c r="B302" i="28"/>
  <c r="A301" i="28"/>
  <c r="AC302" i="28" l="1"/>
  <c r="A302" i="28"/>
  <c r="B303" i="28"/>
  <c r="AD302" i="28"/>
  <c r="AE302" i="28" s="1" a="1"/>
  <c r="AE302" i="28" s="1"/>
  <c r="AE301" i="28" a="1"/>
  <c r="AE301" i="28" s="1"/>
  <c r="AC303" i="28" l="1"/>
  <c r="AD303" i="28" s="1"/>
  <c r="A303" i="28"/>
  <c r="C303" i="28" s="1"/>
  <c r="E303" i="28"/>
  <c r="B304" i="28"/>
  <c r="AC304" i="28" l="1"/>
  <c r="B305" i="28"/>
  <c r="A304" i="28"/>
  <c r="C304" i="28" s="1"/>
  <c r="E304" i="28"/>
  <c r="AD304" i="28"/>
  <c r="AE303" i="28" a="1"/>
  <c r="AE303" i="28" s="1"/>
  <c r="AE304" i="28" l="1" a="1"/>
  <c r="AE304" i="28" s="1"/>
  <c r="AC305" i="28"/>
  <c r="AD305" i="28" s="1"/>
  <c r="A305" i="28"/>
  <c r="B306" i="28"/>
  <c r="AE305" i="28" l="1" a="1"/>
  <c r="AE305" i="28" s="1"/>
  <c r="AC306" i="28"/>
  <c r="AD306" i="28" s="1"/>
  <c r="A306" i="28"/>
  <c r="B307" i="28"/>
  <c r="AE306" i="28" l="1" a="1"/>
  <c r="AE306" i="28" s="1"/>
  <c r="AC307" i="28"/>
  <c r="AD307" i="28" s="1"/>
  <c r="AE307" i="28" s="1" a="1"/>
  <c r="AE307" i="28" s="1"/>
  <c r="A307" i="28"/>
  <c r="B308" i="28"/>
  <c r="AC308" i="28" l="1"/>
  <c r="AD308" i="28" s="1"/>
  <c r="AE308" i="28" s="1" a="1"/>
  <c r="AE308" i="28" s="1"/>
  <c r="A308" i="28"/>
  <c r="B309" i="28"/>
  <c r="AC309" i="28" l="1"/>
  <c r="AD309" i="28" s="1"/>
  <c r="AE309" i="28" s="1" a="1"/>
  <c r="AE309" i="28" s="1"/>
  <c r="A309" i="28"/>
  <c r="B310" i="28"/>
  <c r="AC310" i="28" l="1"/>
  <c r="AD310" i="28" s="1"/>
  <c r="AE310" i="28" s="1" a="1"/>
  <c r="AE310" i="28" s="1"/>
  <c r="A310" i="28"/>
  <c r="C310" i="28" s="1"/>
  <c r="E310" i="28"/>
  <c r="B311" i="28"/>
  <c r="AC311" i="28" l="1"/>
  <c r="AD311" i="28" s="1"/>
  <c r="B312" i="28"/>
  <c r="E311" i="28"/>
  <c r="A311" i="28"/>
  <c r="C311" i="28" s="1"/>
  <c r="AC312" i="28" l="1"/>
  <c r="A312" i="28"/>
  <c r="B313" i="28"/>
  <c r="AD312" i="28"/>
  <c r="AE311" i="28" a="1"/>
  <c r="AE311" i="28" s="1"/>
  <c r="AE312" i="28" l="1" a="1"/>
  <c r="AE312" i="28" s="1"/>
  <c r="AC313" i="28"/>
  <c r="AD313" i="28" s="1"/>
  <c r="B314" i="28"/>
  <c r="A313" i="28"/>
  <c r="AE313" i="28" l="1" a="1"/>
  <c r="AE313" i="28" s="1"/>
  <c r="AC314" i="28"/>
  <c r="AD314" i="28" s="1"/>
  <c r="B315" i="28"/>
  <c r="A314" i="28"/>
  <c r="AE314" i="28" l="1" a="1"/>
  <c r="AE314" i="28" s="1"/>
  <c r="AC315" i="28"/>
  <c r="AD315" i="28" s="1"/>
  <c r="B316" i="28"/>
  <c r="A315" i="28"/>
  <c r="AE315" i="28" l="1" a="1"/>
  <c r="AE315" i="28" s="1"/>
  <c r="AC316" i="28"/>
  <c r="AD316" i="28" s="1"/>
  <c r="B317" i="28"/>
  <c r="A316" i="28"/>
  <c r="AE316" i="28" l="1" a="1"/>
  <c r="AE316" i="28" s="1"/>
  <c r="AC317" i="28"/>
  <c r="AD317" i="28" s="1"/>
  <c r="A317" i="28"/>
  <c r="C317" i="28" s="1"/>
  <c r="B318" i="28"/>
  <c r="E317" i="28"/>
  <c r="AE317" i="28" l="1" a="1"/>
  <c r="AE317" i="28" s="1"/>
  <c r="AC318" i="28"/>
  <c r="AD318" i="28" s="1"/>
  <c r="A318" i="28"/>
  <c r="C318" i="28" s="1"/>
  <c r="B319" i="28"/>
  <c r="E318" i="28"/>
  <c r="AE318" i="28" l="1" a="1"/>
  <c r="AE318" i="28" s="1"/>
  <c r="AC319" i="28"/>
  <c r="AD319" i="28" s="1"/>
  <c r="B320" i="28"/>
  <c r="A319" i="28"/>
  <c r="AE319" i="28" l="1" a="1"/>
  <c r="AE319" i="28" s="1"/>
  <c r="AC320" i="28"/>
  <c r="AD320" i="28" s="1"/>
  <c r="A320" i="28"/>
  <c r="B321" i="28"/>
  <c r="AE320" i="28" l="1" a="1"/>
  <c r="AE320" i="28" s="1"/>
  <c r="AC321" i="28"/>
  <c r="AD321" i="28" s="1"/>
  <c r="A321" i="28"/>
  <c r="B322" i="28"/>
  <c r="AE321" i="28" l="1" a="1"/>
  <c r="AE321" i="28" s="1"/>
  <c r="AC322" i="28"/>
  <c r="AD322" i="28" s="1"/>
  <c r="B323" i="28"/>
  <c r="A322" i="28"/>
  <c r="AE322" i="28" l="1" a="1"/>
  <c r="AE322" i="28" s="1"/>
  <c r="AC323" i="28"/>
  <c r="AD323" i="28" s="1"/>
  <c r="A323" i="28"/>
  <c r="B324" i="28"/>
  <c r="AE323" i="28" l="1" a="1"/>
  <c r="AE323" i="28" s="1"/>
  <c r="AC324" i="28"/>
  <c r="AD324" i="28" s="1"/>
  <c r="A324" i="28"/>
  <c r="C324" i="28" s="1"/>
  <c r="B325" i="28"/>
  <c r="E324" i="28"/>
  <c r="AE324" i="28" l="1" a="1"/>
  <c r="AE324" i="28" s="1"/>
  <c r="AC325" i="28"/>
  <c r="AD325" i="28" s="1"/>
  <c r="A325" i="28"/>
  <c r="C325" i="28" s="1"/>
  <c r="E325" i="28"/>
  <c r="B326" i="28"/>
  <c r="AE325" i="28" l="1" a="1"/>
  <c r="AE325" i="28" s="1"/>
  <c r="AC326" i="28"/>
  <c r="AD326" i="28" s="1"/>
  <c r="B327" i="28"/>
  <c r="A326" i="28"/>
  <c r="AE326" i="28" l="1" a="1"/>
  <c r="AE326" i="28" s="1"/>
  <c r="AC327" i="28"/>
  <c r="AD327" i="28" s="1"/>
  <c r="B328" i="28"/>
  <c r="A327" i="28"/>
  <c r="AE327" i="28" l="1" a="1"/>
  <c r="AE327" i="28" s="1"/>
  <c r="AC328" i="28"/>
  <c r="AD328" i="28" s="1"/>
  <c r="B329" i="28"/>
  <c r="A328" i="28"/>
  <c r="AE328" i="28" l="1" a="1"/>
  <c r="AE328" i="28" s="1"/>
  <c r="AC329" i="28"/>
  <c r="AD329" i="28" s="1"/>
  <c r="A329" i="28"/>
  <c r="B330" i="28"/>
  <c r="AE329" i="28" l="1" a="1"/>
  <c r="AE329" i="28" s="1"/>
  <c r="AC330" i="28"/>
  <c r="AD330" i="28" s="1"/>
  <c r="A330" i="28"/>
  <c r="B331" i="28"/>
  <c r="AE330" i="28" l="1" a="1"/>
  <c r="AE330" i="28" s="1"/>
  <c r="AC331" i="28"/>
  <c r="AD331" i="28" s="1"/>
  <c r="A331" i="28"/>
  <c r="C331" i="28" s="1"/>
  <c r="B332" i="28"/>
  <c r="E331" i="28"/>
  <c r="AE331" i="28" l="1" a="1"/>
  <c r="AE331" i="28" s="1"/>
  <c r="AC332" i="28"/>
  <c r="AD332" i="28" s="1"/>
  <c r="A332" i="28"/>
  <c r="C332" i="28" s="1"/>
  <c r="B333" i="28"/>
  <c r="E332" i="28"/>
  <c r="AE332" i="28" l="1" a="1"/>
  <c r="AE332" i="28" s="1"/>
  <c r="AC333" i="28"/>
  <c r="AD333" i="28" s="1"/>
  <c r="B334" i="28"/>
  <c r="A333" i="28"/>
  <c r="AE333" i="28" l="1" a="1"/>
  <c r="AE333" i="28" s="1"/>
  <c r="AC334" i="28"/>
  <c r="AD334" i="28" s="1"/>
  <c r="B335" i="28"/>
  <c r="A334" i="28"/>
  <c r="AE334" i="28" l="1" a="1"/>
  <c r="AE334" i="28" s="1"/>
  <c r="AC335" i="28"/>
  <c r="AD335" i="28" s="1"/>
  <c r="A335" i="28"/>
  <c r="B336" i="28"/>
  <c r="AE335" i="28" l="1" a="1"/>
  <c r="AE335" i="28" s="1"/>
  <c r="AC336" i="28"/>
  <c r="AD336" i="28" s="1"/>
  <c r="A336" i="28"/>
  <c r="B337" i="28"/>
  <c r="AE336" i="28" l="1" a="1"/>
  <c r="AE336" i="28" s="1"/>
  <c r="AC337" i="28"/>
  <c r="AD337" i="28" s="1"/>
  <c r="B338" i="28"/>
  <c r="A337" i="28"/>
  <c r="AE337" i="28" l="1" a="1"/>
  <c r="AE337" i="28" s="1"/>
  <c r="AC338" i="28"/>
  <c r="AD338" i="28" s="1"/>
  <c r="E338" i="28"/>
  <c r="A338" i="28"/>
  <c r="C338" i="28" s="1"/>
  <c r="B339" i="28"/>
  <c r="AE338" i="28" l="1" a="1"/>
  <c r="AE338" i="28" s="1"/>
  <c r="AC339" i="28"/>
  <c r="AD339" i="28" s="1"/>
  <c r="A339" i="28"/>
  <c r="C339" i="28" s="1"/>
  <c r="E339" i="28"/>
  <c r="B340" i="28"/>
  <c r="AE339" i="28" l="1" a="1"/>
  <c r="AE339" i="28" s="1"/>
  <c r="AC340" i="28"/>
  <c r="AD340" i="28" s="1"/>
  <c r="A340" i="28"/>
  <c r="B341" i="28"/>
  <c r="AE340" i="28" l="1" a="1"/>
  <c r="AE340" i="28" s="1"/>
  <c r="AC341" i="28"/>
  <c r="AD341" i="28" s="1"/>
  <c r="B342" i="28"/>
  <c r="A341" i="28"/>
  <c r="AE341" i="28" l="1" a="1"/>
  <c r="AE341" i="28" s="1"/>
  <c r="AC342" i="28"/>
  <c r="AD342" i="28" s="1"/>
  <c r="B343" i="28"/>
  <c r="A342" i="28"/>
  <c r="AE342" i="28" l="1" a="1"/>
  <c r="AE342" i="28" s="1"/>
  <c r="AC343" i="28"/>
  <c r="AD343" i="28" s="1"/>
  <c r="A343" i="28"/>
  <c r="B344" i="28"/>
  <c r="AE343" i="28" l="1" a="1"/>
  <c r="AE343" i="28" s="1"/>
  <c r="AC344" i="28"/>
  <c r="AD344" i="28" s="1"/>
  <c r="A344" i="28"/>
  <c r="B345" i="28"/>
  <c r="AE344" i="28" l="1" a="1"/>
  <c r="AE344" i="28" s="1"/>
  <c r="AC345" i="28"/>
  <c r="AD345" i="28" s="1"/>
  <c r="A345" i="28"/>
  <c r="C345" i="28" s="1"/>
  <c r="B346" i="28"/>
  <c r="E345" i="28"/>
  <c r="AE345" i="28" l="1" a="1"/>
  <c r="AE345" i="28" s="1"/>
  <c r="AC346" i="28"/>
  <c r="AD346" i="28" s="1"/>
  <c r="B347" i="28"/>
  <c r="E346" i="28"/>
  <c r="A346" i="28"/>
  <c r="C346" i="28" s="1"/>
  <c r="AE346" i="28" l="1" a="1"/>
  <c r="AE346" i="28" s="1"/>
  <c r="AC347" i="28"/>
  <c r="AD347" i="28" s="1"/>
  <c r="B348" i="28"/>
  <c r="A347" i="28"/>
  <c r="AE347" i="28" l="1" a="1"/>
  <c r="AE347" i="28" s="1"/>
  <c r="AC348" i="28"/>
  <c r="AD348" i="28" s="1"/>
  <c r="AE348" i="28" s="1" a="1"/>
  <c r="AE348" i="28" s="1"/>
  <c r="A348" i="28"/>
  <c r="B349" i="28"/>
  <c r="AC349" i="28" l="1"/>
  <c r="AD349" i="28" s="1"/>
  <c r="AE349" i="28" s="1" a="1"/>
  <c r="AE349" i="28" s="1"/>
  <c r="B350" i="28"/>
  <c r="A349" i="28"/>
  <c r="AC350" i="28" l="1"/>
  <c r="AD350" i="28" s="1"/>
  <c r="AE350" i="28" s="1" a="1"/>
  <c r="AE350" i="28" s="1"/>
  <c r="B351" i="28"/>
  <c r="A350" i="28"/>
  <c r="AC351" i="28" l="1"/>
  <c r="AD351" i="28" s="1"/>
  <c r="AE351" i="28" s="1" a="1"/>
  <c r="AE351" i="28" s="1"/>
  <c r="B352" i="28"/>
  <c r="A351" i="28"/>
  <c r="AC352" i="28" l="1"/>
  <c r="AD352" i="28" s="1"/>
  <c r="AE352" i="28" s="1" a="1"/>
  <c r="AE352" i="28" s="1"/>
  <c r="B353" i="28"/>
  <c r="A352" i="28"/>
  <c r="C352" i="28" s="1"/>
  <c r="E352" i="28"/>
  <c r="AC353" i="28" l="1"/>
  <c r="AD353" i="28" s="1"/>
  <c r="A353" i="28"/>
  <c r="C353" i="28" s="1"/>
  <c r="E353" i="28"/>
  <c r="B354" i="28"/>
  <c r="AC354" i="28" l="1"/>
  <c r="A354" i="28"/>
  <c r="B355" i="28"/>
  <c r="AD354" i="28"/>
  <c r="AE353" i="28" a="1"/>
  <c r="AE353" i="28" s="1"/>
  <c r="AE354" i="28" l="1" a="1"/>
  <c r="AE354" i="28" s="1"/>
  <c r="AC355" i="28"/>
  <c r="AD355" i="28" s="1"/>
  <c r="B356" i="28"/>
  <c r="A355" i="28"/>
  <c r="AE355" i="28" l="1" a="1"/>
  <c r="AE355" i="28" s="1"/>
  <c r="AC356" i="28"/>
  <c r="AD356" i="28" s="1"/>
  <c r="A356" i="28"/>
  <c r="B357" i="28"/>
  <c r="AE356" i="28" l="1" a="1"/>
  <c r="AE356" i="28" s="1"/>
  <c r="AC357" i="28"/>
  <c r="AD357" i="28" s="1"/>
  <c r="A357" i="28"/>
  <c r="B358" i="28"/>
  <c r="AE357" i="28" l="1" a="1"/>
  <c r="AE357" i="28" s="1"/>
  <c r="AC358" i="28"/>
  <c r="AD358" i="28" s="1"/>
  <c r="A358" i="28"/>
  <c r="B359" i="28"/>
  <c r="AE358" i="28" l="1" a="1"/>
  <c r="AE358" i="28" s="1"/>
  <c r="AC359" i="28"/>
  <c r="AD359" i="28" s="1"/>
  <c r="A359" i="28"/>
  <c r="C359" i="28" s="1"/>
  <c r="B360" i="28"/>
  <c r="E359" i="28"/>
  <c r="AE359" i="28" l="1" a="1"/>
  <c r="AE359" i="28" s="1"/>
  <c r="AC360" i="28"/>
  <c r="AD360" i="28" s="1"/>
  <c r="B361" i="28"/>
  <c r="E360" i="28"/>
  <c r="A360" i="28"/>
  <c r="C360" i="28" s="1"/>
  <c r="AE360" i="28" l="1" a="1"/>
  <c r="AE360" i="28" s="1"/>
  <c r="AC361" i="28"/>
  <c r="AD361" i="28" s="1"/>
  <c r="A361" i="28"/>
  <c r="B362" i="28"/>
  <c r="AE361" i="28" l="1" a="1"/>
  <c r="AE361" i="28" s="1"/>
  <c r="AC362" i="28"/>
  <c r="AD362" i="28" s="1"/>
  <c r="B363" i="28"/>
  <c r="A362" i="28"/>
  <c r="AE362" i="28" l="1" a="1"/>
  <c r="AE362" i="28" s="1"/>
  <c r="AC363" i="28"/>
  <c r="AD363" i="28" s="1"/>
  <c r="B364" i="28"/>
  <c r="A363" i="28"/>
  <c r="AE363" i="28" l="1" a="1"/>
  <c r="AE363" i="28" s="1"/>
  <c r="AC364" i="28"/>
  <c r="AD364" i="28" s="1"/>
  <c r="B365" i="28"/>
  <c r="A364" i="28"/>
  <c r="AE364" i="28" l="1" a="1"/>
  <c r="AE364" i="28" s="1"/>
  <c r="AC365" i="28"/>
  <c r="AD365" i="28" s="1"/>
  <c r="B366" i="28"/>
  <c r="A365" i="28"/>
  <c r="AE365" i="28" l="1" a="1"/>
  <c r="AE365" i="28" s="1"/>
  <c r="AC366" i="28"/>
  <c r="AD366" i="28" s="1"/>
  <c r="B367" i="28"/>
  <c r="A366" i="28"/>
  <c r="C366" i="28" s="1"/>
  <c r="E366" i="28"/>
  <c r="AE366" i="28" l="1" a="1"/>
  <c r="AE366" i="28" s="1"/>
  <c r="AC367" i="28"/>
  <c r="AD367" i="28" s="1"/>
  <c r="A367" i="28"/>
  <c r="C367" i="28" s="1"/>
  <c r="E367" i="28"/>
  <c r="B368" i="28"/>
  <c r="AE367" i="28" l="1" a="1"/>
  <c r="AE367" i="28" s="1"/>
  <c r="AC368" i="28"/>
  <c r="AD368" i="28" s="1"/>
  <c r="A368" i="28"/>
  <c r="B369" i="28"/>
  <c r="AE368" i="28" l="1" a="1"/>
  <c r="AE368" i="28" s="1"/>
  <c r="AC369" i="28"/>
  <c r="B370" i="28"/>
  <c r="A369" i="28"/>
  <c r="C368" i="28"/>
  <c r="AC370" i="28" l="1"/>
  <c r="A370" i="28"/>
  <c r="B371" i="28"/>
  <c r="C28" i="27"/>
  <c r="C42" i="27"/>
  <c r="C56" i="27"/>
  <c r="C70" i="27"/>
  <c r="C84" i="27"/>
  <c r="C98" i="27"/>
  <c r="C21" i="27"/>
  <c r="D22" i="27" s="1"/>
  <c r="D23" i="27" s="1"/>
  <c r="D24" i="27" s="1"/>
  <c r="D25" i="27" s="1"/>
  <c r="D28" i="27" s="1"/>
  <c r="D29" i="27" s="1"/>
  <c r="C29" i="27"/>
  <c r="C43" i="27"/>
  <c r="C57" i="27"/>
  <c r="C71" i="27"/>
  <c r="C85" i="27"/>
  <c r="C99" i="27"/>
  <c r="C30" i="27"/>
  <c r="C44" i="27"/>
  <c r="C58" i="27"/>
  <c r="C72" i="27"/>
  <c r="C86" i="27"/>
  <c r="C100" i="27"/>
  <c r="C31" i="27"/>
  <c r="C45" i="27"/>
  <c r="C59" i="27"/>
  <c r="C73" i="27"/>
  <c r="C87" i="27"/>
  <c r="C101" i="27"/>
  <c r="C49" i="27"/>
  <c r="C67" i="27"/>
  <c r="C107" i="27"/>
  <c r="C32" i="27"/>
  <c r="C50" i="27"/>
  <c r="C108" i="27"/>
  <c r="C51" i="27"/>
  <c r="C91" i="27"/>
  <c r="C109" i="27"/>
  <c r="C35" i="27"/>
  <c r="C53" i="27"/>
  <c r="C93" i="27"/>
  <c r="C36" i="27"/>
  <c r="C94" i="27"/>
  <c r="C37" i="27"/>
  <c r="C77" i="27"/>
  <c r="C95" i="27"/>
  <c r="C38" i="27"/>
  <c r="C60" i="27"/>
  <c r="C78" i="27"/>
  <c r="C39" i="27"/>
  <c r="C79" i="27"/>
  <c r="C24" i="27"/>
  <c r="C46" i="27"/>
  <c r="C64" i="27"/>
  <c r="C80" i="27"/>
  <c r="C106" i="27"/>
  <c r="C52" i="27"/>
  <c r="C81" i="27"/>
  <c r="C22" i="27"/>
  <c r="C88" i="27"/>
  <c r="C23" i="27"/>
  <c r="C25" i="27"/>
  <c r="C63" i="27"/>
  <c r="C74" i="27"/>
  <c r="C92" i="27"/>
  <c r="C102" i="27"/>
  <c r="C66" i="27"/>
  <c r="C65" i="27"/>
  <c r="C105" i="27"/>
  <c r="C4" i="28"/>
  <c r="C5" i="28"/>
  <c r="C6" i="28"/>
  <c r="C7" i="28"/>
  <c r="C8" i="28"/>
  <c r="C11" i="28"/>
  <c r="C26" i="7" s="1"/>
  <c r="C12" i="28"/>
  <c r="C27" i="7" s="1"/>
  <c r="C13" i="28"/>
  <c r="C28" i="7" s="1"/>
  <c r="C14" i="28"/>
  <c r="C29" i="7" s="1"/>
  <c r="C15" i="28"/>
  <c r="C30" i="7" s="1"/>
  <c r="C18" i="28"/>
  <c r="C33" i="7" s="1"/>
  <c r="C19" i="28"/>
  <c r="C34" i="7" s="1"/>
  <c r="C20" i="28"/>
  <c r="C35" i="7" s="1"/>
  <c r="C21" i="28"/>
  <c r="C36" i="7" s="1"/>
  <c r="C22" i="28"/>
  <c r="C37" i="7" s="1"/>
  <c r="C25" i="28"/>
  <c r="C40" i="7" s="1"/>
  <c r="C26" i="28"/>
  <c r="C41" i="7" s="1"/>
  <c r="C27" i="28"/>
  <c r="C42" i="7" s="1"/>
  <c r="C28" i="28"/>
  <c r="C43" i="7" s="1"/>
  <c r="C29" i="28"/>
  <c r="C44" i="7" s="1"/>
  <c r="C32" i="28"/>
  <c r="C47" i="7" s="1"/>
  <c r="C33" i="28"/>
  <c r="C48" i="7" s="1"/>
  <c r="C34" i="28"/>
  <c r="C49" i="7" s="1"/>
  <c r="C35" i="28"/>
  <c r="C50" i="7" s="1"/>
  <c r="C36" i="28"/>
  <c r="C51" i="7" s="1"/>
  <c r="C39" i="28"/>
  <c r="C54" i="7" s="1"/>
  <c r="C40" i="28"/>
  <c r="C55" i="7" s="1"/>
  <c r="C41" i="28"/>
  <c r="C56" i="7" s="1"/>
  <c r="C42" i="28"/>
  <c r="C57" i="7" s="1"/>
  <c r="C43" i="28"/>
  <c r="C58" i="7" s="1"/>
  <c r="C46" i="28"/>
  <c r="C61" i="7" s="1"/>
  <c r="C47" i="28"/>
  <c r="C62" i="7" s="1"/>
  <c r="C48" i="28"/>
  <c r="C63" i="7" s="1"/>
  <c r="C49" i="28"/>
  <c r="C64" i="7" s="1"/>
  <c r="C50" i="28"/>
  <c r="C65" i="7" s="1"/>
  <c r="C53" i="28"/>
  <c r="C68" i="7" s="1"/>
  <c r="C54" i="28"/>
  <c r="C69" i="7" s="1"/>
  <c r="C55" i="28"/>
  <c r="C70" i="7" s="1"/>
  <c r="C56" i="28"/>
  <c r="C71" i="7" s="1"/>
  <c r="C57" i="28"/>
  <c r="C72" i="7" s="1"/>
  <c r="C60" i="28"/>
  <c r="C75" i="7" s="1"/>
  <c r="C61" i="28"/>
  <c r="C76" i="7" s="1"/>
  <c r="C62" i="28"/>
  <c r="C77" i="7" s="1"/>
  <c r="C63" i="28"/>
  <c r="C78" i="7" s="1"/>
  <c r="C64" i="28"/>
  <c r="C79" i="7" s="1"/>
  <c r="C67" i="28"/>
  <c r="C82" i="7" s="1"/>
  <c r="C68" i="28"/>
  <c r="C83" i="7" s="1"/>
  <c r="C69" i="28"/>
  <c r="C84" i="7" s="1"/>
  <c r="C70" i="28"/>
  <c r="C85" i="7" s="1"/>
  <c r="C71" i="28"/>
  <c r="C86" i="7" s="1"/>
  <c r="C74" i="28"/>
  <c r="C89" i="7" s="1"/>
  <c r="C75" i="28"/>
  <c r="C90" i="7" s="1"/>
  <c r="C76" i="28"/>
  <c r="C91" i="7" s="1"/>
  <c r="C77" i="28"/>
  <c r="C92" i="7" s="1"/>
  <c r="C78" i="28"/>
  <c r="C93" i="7" s="1"/>
  <c r="C81" i="28"/>
  <c r="C96" i="7" s="1"/>
  <c r="C82" i="28"/>
  <c r="C97" i="7" s="1"/>
  <c r="C83" i="28"/>
  <c r="C98" i="7" s="1"/>
  <c r="C84" i="28"/>
  <c r="C99" i="7" s="1"/>
  <c r="C85" i="28"/>
  <c r="C100" i="7" s="1"/>
  <c r="C88" i="28"/>
  <c r="C103" i="7" s="1"/>
  <c r="C89" i="28"/>
  <c r="C104" i="7" s="1"/>
  <c r="C90" i="28"/>
  <c r="C105" i="7" s="1"/>
  <c r="C91" i="28"/>
  <c r="C106" i="7" s="1"/>
  <c r="C92" i="28"/>
  <c r="C107" i="7" s="1"/>
  <c r="C95" i="28"/>
  <c r="C110" i="7" s="1"/>
  <c r="C96" i="28"/>
  <c r="C97" i="28"/>
  <c r="C98" i="28"/>
  <c r="C99" i="28"/>
  <c r="C102" i="28"/>
  <c r="C103" i="28"/>
  <c r="C104" i="28"/>
  <c r="C105" i="28"/>
  <c r="C106" i="28"/>
  <c r="C109" i="28"/>
  <c r="C110" i="28"/>
  <c r="C111" i="28"/>
  <c r="C112" i="28"/>
  <c r="C113" i="28"/>
  <c r="C116" i="28"/>
  <c r="C117" i="28"/>
  <c r="C118" i="28"/>
  <c r="C119" i="28"/>
  <c r="C120" i="28"/>
  <c r="C123" i="28"/>
  <c r="C124" i="28"/>
  <c r="C125" i="28"/>
  <c r="C126" i="28"/>
  <c r="C127" i="28"/>
  <c r="C130" i="28"/>
  <c r="C131" i="28"/>
  <c r="C132" i="28"/>
  <c r="C133" i="28"/>
  <c r="C134" i="28"/>
  <c r="C137" i="28"/>
  <c r="C138" i="28"/>
  <c r="C139" i="28"/>
  <c r="C140" i="28"/>
  <c r="C141" i="28"/>
  <c r="C144" i="28"/>
  <c r="C145" i="28"/>
  <c r="C146" i="28"/>
  <c r="C147" i="28"/>
  <c r="C148" i="28"/>
  <c r="C151" i="28"/>
  <c r="C152" i="28"/>
  <c r="C153" i="28"/>
  <c r="C154" i="28"/>
  <c r="C155" i="28"/>
  <c r="C158" i="28"/>
  <c r="C159" i="28"/>
  <c r="C160" i="28"/>
  <c r="C161" i="28"/>
  <c r="C162" i="28"/>
  <c r="C165" i="28"/>
  <c r="C166" i="28"/>
  <c r="C167" i="28"/>
  <c r="C168" i="28"/>
  <c r="C169" i="28"/>
  <c r="C172" i="28"/>
  <c r="C173" i="28"/>
  <c r="C174" i="28"/>
  <c r="C175" i="28"/>
  <c r="C176" i="28"/>
  <c r="C179" i="28"/>
  <c r="C180" i="28"/>
  <c r="C181" i="28"/>
  <c r="C182" i="28"/>
  <c r="C183" i="28"/>
  <c r="C186" i="28"/>
  <c r="C187" i="28"/>
  <c r="C188" i="28"/>
  <c r="C189" i="28"/>
  <c r="C190" i="28"/>
  <c r="C193" i="28"/>
  <c r="C194" i="28"/>
  <c r="C195" i="28"/>
  <c r="C196" i="28"/>
  <c r="C197" i="28"/>
  <c r="C200" i="28"/>
  <c r="C201" i="28"/>
  <c r="C202" i="28"/>
  <c r="C203" i="28"/>
  <c r="C204" i="28"/>
  <c r="C207" i="28"/>
  <c r="C208" i="28"/>
  <c r="C209" i="28"/>
  <c r="C210" i="28"/>
  <c r="C211" i="28"/>
  <c r="C214" i="28"/>
  <c r="C215" i="28"/>
  <c r="C216" i="28"/>
  <c r="C217" i="28"/>
  <c r="C218" i="28"/>
  <c r="C221" i="28"/>
  <c r="C222" i="28"/>
  <c r="C223" i="28"/>
  <c r="C224" i="28"/>
  <c r="C225" i="28"/>
  <c r="C228" i="28"/>
  <c r="C229" i="28"/>
  <c r="C230" i="28"/>
  <c r="C231" i="28"/>
  <c r="C232" i="28"/>
  <c r="C235" i="28"/>
  <c r="C236" i="28"/>
  <c r="C237" i="28"/>
  <c r="C238" i="28"/>
  <c r="C239" i="28"/>
  <c r="C242" i="28"/>
  <c r="C243" i="28"/>
  <c r="C244" i="28"/>
  <c r="C245" i="28"/>
  <c r="C246" i="28"/>
  <c r="C249" i="28"/>
  <c r="C250" i="28"/>
  <c r="C251" i="28"/>
  <c r="C252" i="28"/>
  <c r="C253" i="28"/>
  <c r="C256" i="28"/>
  <c r="C257" i="28"/>
  <c r="C258" i="28"/>
  <c r="C259" i="28"/>
  <c r="C260" i="28"/>
  <c r="C263" i="28"/>
  <c r="C264" i="28"/>
  <c r="C265" i="28"/>
  <c r="C266" i="28"/>
  <c r="C267" i="28"/>
  <c r="C270" i="28"/>
  <c r="C271" i="28"/>
  <c r="C272" i="28"/>
  <c r="C273" i="28"/>
  <c r="C274" i="28"/>
  <c r="C277" i="28"/>
  <c r="C278" i="28"/>
  <c r="C279" i="28"/>
  <c r="C280" i="28"/>
  <c r="C281" i="28"/>
  <c r="C284" i="28"/>
  <c r="C285" i="28"/>
  <c r="C286" i="28"/>
  <c r="C287" i="28"/>
  <c r="C288" i="28"/>
  <c r="C291" i="28"/>
  <c r="C292" i="28"/>
  <c r="C293" i="28"/>
  <c r="C294" i="28"/>
  <c r="C295" i="28"/>
  <c r="C298" i="28"/>
  <c r="C299" i="28"/>
  <c r="C300" i="28"/>
  <c r="C301" i="28"/>
  <c r="C302" i="28"/>
  <c r="C305" i="28"/>
  <c r="C306" i="28"/>
  <c r="C307" i="28"/>
  <c r="C308" i="28"/>
  <c r="C309" i="28"/>
  <c r="C312" i="28"/>
  <c r="C313" i="28"/>
  <c r="C314" i="28"/>
  <c r="C315" i="28"/>
  <c r="C316" i="28"/>
  <c r="C319" i="28"/>
  <c r="C320" i="28"/>
  <c r="C321" i="28"/>
  <c r="C322" i="28"/>
  <c r="C323" i="28"/>
  <c r="C326" i="28"/>
  <c r="C327" i="28"/>
  <c r="C328" i="28"/>
  <c r="C329" i="28"/>
  <c r="C330" i="28"/>
  <c r="C333" i="28"/>
  <c r="C334" i="28"/>
  <c r="C335" i="28"/>
  <c r="C336" i="28"/>
  <c r="C337" i="28"/>
  <c r="C340" i="28"/>
  <c r="C341" i="28"/>
  <c r="C342" i="28"/>
  <c r="C343" i="28"/>
  <c r="C344" i="28"/>
  <c r="C347" i="28"/>
  <c r="C348" i="28"/>
  <c r="C349" i="28"/>
  <c r="C350" i="28"/>
  <c r="C351" i="28"/>
  <c r="C354" i="28"/>
  <c r="C355" i="28"/>
  <c r="C356" i="28"/>
  <c r="C357" i="28"/>
  <c r="C358" i="28"/>
  <c r="C361" i="28"/>
  <c r="C362" i="28"/>
  <c r="C363" i="28"/>
  <c r="C364" i="28"/>
  <c r="C365" i="28"/>
  <c r="AD369" i="28"/>
  <c r="C10" i="7" l="1"/>
  <c r="C23" i="7"/>
  <c r="AC371" i="28"/>
  <c r="A371" i="28"/>
  <c r="B372" i="28"/>
  <c r="C9" i="7"/>
  <c r="C22" i="7"/>
  <c r="C8" i="7"/>
  <c r="C21" i="7"/>
  <c r="C7" i="7"/>
  <c r="C20" i="7"/>
  <c r="D30" i="27"/>
  <c r="D31" i="27" s="1"/>
  <c r="D32" i="27" s="1"/>
  <c r="D35" i="27" s="1"/>
  <c r="D36" i="27" s="1"/>
  <c r="D37" i="27" s="1"/>
  <c r="D38" i="27" s="1"/>
  <c r="D39" i="27" s="1"/>
  <c r="D42" i="27" s="1"/>
  <c r="D43" i="27" s="1"/>
  <c r="D44" i="27" s="1"/>
  <c r="D45" i="27" s="1"/>
  <c r="D46" i="27" s="1"/>
  <c r="D49" i="27" s="1"/>
  <c r="D50" i="27" s="1"/>
  <c r="D51" i="27" s="1"/>
  <c r="D52" i="27" s="1"/>
  <c r="D53" i="27" s="1"/>
  <c r="D56" i="27" s="1"/>
  <c r="D57" i="27" s="1"/>
  <c r="D58" i="27" s="1"/>
  <c r="D59" i="27" s="1"/>
  <c r="D60" i="27" s="1"/>
  <c r="D63" i="27" s="1"/>
  <c r="D64" i="27" s="1"/>
  <c r="D65" i="27" s="1"/>
  <c r="D66" i="27" s="1"/>
  <c r="D67" i="27" s="1"/>
  <c r="D70" i="27" s="1"/>
  <c r="D71" i="27" s="1"/>
  <c r="D72" i="27" s="1"/>
  <c r="D73" i="27" s="1"/>
  <c r="D74" i="27" s="1"/>
  <c r="D77" i="27" s="1"/>
  <c r="D78" i="27" s="1"/>
  <c r="D79" i="27" s="1"/>
  <c r="D80" i="27" s="1"/>
  <c r="D81" i="27" s="1"/>
  <c r="D84" i="27" s="1"/>
  <c r="D85" i="27" s="1"/>
  <c r="D86" i="27" s="1"/>
  <c r="D87" i="27" s="1"/>
  <c r="D88" i="27" s="1"/>
  <c r="D91" i="27" s="1"/>
  <c r="D92" i="27" s="1"/>
  <c r="D93" i="27" s="1"/>
  <c r="D94" i="27" s="1"/>
  <c r="D95" i="27" s="1"/>
  <c r="D98" i="27" s="1"/>
  <c r="D99" i="27" s="1"/>
  <c r="D100" i="27" s="1"/>
  <c r="D101" i="27" s="1"/>
  <c r="D102" i="27" s="1"/>
  <c r="D105" i="27" s="1"/>
  <c r="D106" i="27" s="1"/>
  <c r="D107" i="27" s="1"/>
  <c r="D108" i="27" s="1"/>
  <c r="D109" i="27" s="1"/>
  <c r="D112" i="27" s="1"/>
  <c r="AD370" i="28"/>
  <c r="AE369" i="28" a="1"/>
  <c r="AE369" i="28" s="1"/>
  <c r="C369" i="28" s="1"/>
  <c r="C19" i="7"/>
  <c r="C6" i="7"/>
  <c r="D5" i="28"/>
  <c r="D7" i="7" l="1"/>
  <c r="D20" i="7"/>
  <c r="D6" i="28"/>
  <c r="AC372" i="28"/>
  <c r="A372" i="28"/>
  <c r="B373" i="28"/>
  <c r="AD371" i="28"/>
  <c r="AE370" i="28" a="1"/>
  <c r="AE370" i="28" s="1"/>
  <c r="AD372" i="28" l="1"/>
  <c r="AE371" i="28" a="1"/>
  <c r="AE371" i="28" s="1"/>
  <c r="AC373" i="28"/>
  <c r="A373" i="28"/>
  <c r="C373" i="28" s="1"/>
  <c r="E373" i="28"/>
  <c r="B374" i="28"/>
  <c r="D7" i="28"/>
  <c r="D21" i="7"/>
  <c r="D8" i="7"/>
  <c r="D8" i="28" l="1"/>
  <c r="D22" i="7"/>
  <c r="D9" i="7"/>
  <c r="AC374" i="28"/>
  <c r="E374" i="28"/>
  <c r="A374" i="28"/>
  <c r="C374" i="28" s="1"/>
  <c r="B375" i="28"/>
  <c r="AD373" i="28"/>
  <c r="AE372" i="28" a="1"/>
  <c r="AE372" i="28" s="1"/>
  <c r="AC375" i="28" l="1"/>
  <c r="A375" i="28"/>
  <c r="B376" i="28"/>
  <c r="AD374" i="28"/>
  <c r="AE373" i="28" a="1"/>
  <c r="AE373" i="28" s="1"/>
  <c r="D11" i="28"/>
  <c r="D10" i="7"/>
  <c r="D23" i="7"/>
  <c r="E11" i="28" l="1"/>
  <c r="K4" i="28" s="1"/>
  <c r="L4" i="28" s="1"/>
  <c r="D26" i="7"/>
  <c r="D13" i="7"/>
  <c r="F13" i="7" s="1"/>
  <c r="D12" i="28"/>
  <c r="AD375" i="28"/>
  <c r="AE374" i="28" a="1"/>
  <c r="AE374" i="28" s="1"/>
  <c r="AC376" i="28"/>
  <c r="A376" i="28"/>
  <c r="B377" i="28"/>
  <c r="AD376" i="28" l="1"/>
  <c r="AE375" i="28" a="1"/>
  <c r="AE375" i="28" s="1"/>
  <c r="D13" i="28"/>
  <c r="D27" i="7"/>
  <c r="E12" i="28"/>
  <c r="AC377" i="28"/>
  <c r="A377" i="28"/>
  <c r="B378" i="28"/>
  <c r="AC378" i="28" l="1"/>
  <c r="A378" i="28"/>
  <c r="B379" i="28"/>
  <c r="D28" i="7"/>
  <c r="D14" i="28"/>
  <c r="E13" i="28"/>
  <c r="AD377" i="28"/>
  <c r="AE376" i="28" a="1"/>
  <c r="AE376" i="28" s="1"/>
  <c r="AD378" i="28" l="1"/>
  <c r="AE377" i="28" a="1"/>
  <c r="AE377" i="28" s="1"/>
  <c r="D29" i="7"/>
  <c r="D15" i="28"/>
  <c r="E14" i="28"/>
  <c r="AC379" i="28"/>
  <c r="A379" i="28"/>
  <c r="B380" i="28"/>
  <c r="AC380" i="28" l="1"/>
  <c r="B381" i="28"/>
  <c r="A380" i="28"/>
  <c r="C380" i="28" s="1"/>
  <c r="E380" i="28"/>
  <c r="D30" i="7"/>
  <c r="D18" i="28"/>
  <c r="E15" i="28"/>
  <c r="AD379" i="28"/>
  <c r="AE378" i="28" a="1"/>
  <c r="AE378" i="28" s="1"/>
  <c r="D33" i="7" l="1"/>
  <c r="E18" i="28"/>
  <c r="D19" i="28"/>
  <c r="AD380" i="28"/>
  <c r="AE379" i="28" a="1"/>
  <c r="AE379" i="28" s="1"/>
  <c r="AC381" i="28"/>
  <c r="B382" i="28"/>
  <c r="A381" i="28"/>
  <c r="C381" i="28" s="1"/>
  <c r="E381" i="28"/>
  <c r="AC382" i="28" l="1"/>
  <c r="A382" i="28"/>
  <c r="B383" i="28"/>
  <c r="AD381" i="28"/>
  <c r="AE380" i="28" a="1"/>
  <c r="AE380" i="28" s="1"/>
  <c r="D34" i="7"/>
  <c r="E19" i="28"/>
  <c r="D20" i="28"/>
  <c r="D35" i="7" l="1"/>
  <c r="D21" i="28"/>
  <c r="E20" i="28"/>
  <c r="AD382" i="28"/>
  <c r="AE381" i="28" a="1"/>
  <c r="AE381" i="28" s="1"/>
  <c r="AC383" i="28"/>
  <c r="B384" i="28"/>
  <c r="A383" i="28"/>
  <c r="AC384" i="28" l="1"/>
  <c r="B385" i="28"/>
  <c r="A384" i="28"/>
  <c r="AD383" i="28"/>
  <c r="AE382" i="28" a="1"/>
  <c r="AE382" i="28" s="1"/>
  <c r="D36" i="7"/>
  <c r="D22" i="28"/>
  <c r="E21" i="28"/>
  <c r="D37" i="7" l="1"/>
  <c r="E22" i="28"/>
  <c r="D25" i="28"/>
  <c r="AD384" i="28"/>
  <c r="AE383" i="28" a="1"/>
  <c r="AE383" i="28" s="1"/>
  <c r="AC385" i="28"/>
  <c r="B386" i="28"/>
  <c r="A385" i="28"/>
  <c r="AC386" i="28" l="1"/>
  <c r="B387" i="28"/>
  <c r="A386" i="28"/>
  <c r="AD385" i="28"/>
  <c r="AE384" i="28" a="1"/>
  <c r="AE384" i="28" s="1"/>
  <c r="D40" i="7"/>
  <c r="E25" i="28"/>
  <c r="D26" i="28"/>
  <c r="D41" i="7" l="1"/>
  <c r="E26" i="28"/>
  <c r="D27" i="28"/>
  <c r="AD386" i="28"/>
  <c r="AE385" i="28" a="1"/>
  <c r="AE385" i="28" s="1"/>
  <c r="AC387" i="28"/>
  <c r="A387" i="28"/>
  <c r="C387" i="28" s="1"/>
  <c r="B388" i="28"/>
  <c r="E387" i="28"/>
  <c r="AC388" i="28" l="1"/>
  <c r="E388" i="28"/>
  <c r="B389" i="28"/>
  <c r="A388" i="28"/>
  <c r="C388" i="28" s="1"/>
  <c r="AD387" i="28"/>
  <c r="AE386" i="28" a="1"/>
  <c r="AE386" i="28" s="1"/>
  <c r="D42" i="7"/>
  <c r="E27" i="28"/>
  <c r="D28" i="28"/>
  <c r="D43" i="7" l="1"/>
  <c r="E28" i="28"/>
  <c r="D29" i="28"/>
  <c r="AD388" i="28"/>
  <c r="AE387" i="28" a="1"/>
  <c r="AE387" i="28" s="1"/>
  <c r="AC389" i="28"/>
  <c r="A389" i="28"/>
  <c r="B390" i="28"/>
  <c r="AC390" i="28" l="1"/>
  <c r="A390" i="28"/>
  <c r="B391" i="28"/>
  <c r="AD389" i="28"/>
  <c r="AE388" i="28" a="1"/>
  <c r="AE388" i="28" s="1"/>
  <c r="D44" i="7"/>
  <c r="E29" i="28"/>
  <c r="D32" i="28"/>
  <c r="D47" i="7" l="1"/>
  <c r="E32" i="28"/>
  <c r="D33" i="28"/>
  <c r="AD390" i="28"/>
  <c r="AE390" i="28" s="1" a="1"/>
  <c r="AE390" i="28" s="1"/>
  <c r="AE389" i="28" a="1"/>
  <c r="AE389" i="28" s="1"/>
  <c r="AC391" i="28"/>
  <c r="AD391" i="28" s="1"/>
  <c r="AE391" i="28" s="1" a="1"/>
  <c r="AE391" i="28" s="1"/>
  <c r="B392" i="28"/>
  <c r="A391" i="28"/>
  <c r="AC392" i="28" l="1"/>
  <c r="AD392" i="28" s="1"/>
  <c r="AE392" i="28" s="1" a="1"/>
  <c r="AE392" i="28" s="1"/>
  <c r="A392" i="28"/>
  <c r="B393" i="28"/>
  <c r="D48" i="7"/>
  <c r="E33" i="28"/>
  <c r="D34" i="28"/>
  <c r="D49" i="7" l="1"/>
  <c r="E34" i="28"/>
  <c r="K5" i="28" s="1"/>
  <c r="L5" i="28" s="1"/>
  <c r="D35" i="28"/>
  <c r="AC393" i="28"/>
  <c r="AD393" i="28" s="1"/>
  <c r="AE393" i="28" s="1" a="1"/>
  <c r="AE393" i="28" s="1"/>
  <c r="B394" i="28"/>
  <c r="A393" i="28"/>
  <c r="AC394" i="28" l="1"/>
  <c r="AD394" i="28" s="1"/>
  <c r="B395" i="28"/>
  <c r="E394" i="28"/>
  <c r="A394" i="28"/>
  <c r="C394" i="28" s="1"/>
  <c r="D50" i="7"/>
  <c r="E35" i="28"/>
  <c r="D36" i="28"/>
  <c r="D51" i="7" l="1"/>
  <c r="D39" i="28"/>
  <c r="E36" i="28"/>
  <c r="AC395" i="28"/>
  <c r="B396" i="28"/>
  <c r="A395" i="28"/>
  <c r="C395" i="28" s="1"/>
  <c r="E395" i="28"/>
  <c r="AD395" i="28"/>
  <c r="AE394" i="28" a="1"/>
  <c r="AE394" i="28" s="1"/>
  <c r="AE395" i="28" l="1" a="1"/>
  <c r="AE395" i="28" s="1"/>
  <c r="D54" i="7"/>
  <c r="D40" i="28"/>
  <c r="E39" i="28"/>
  <c r="AC396" i="28"/>
  <c r="AD396" i="28" s="1"/>
  <c r="B397" i="28"/>
  <c r="A396" i="28"/>
  <c r="AE396" i="28" l="1" a="1"/>
  <c r="AE396" i="28" s="1"/>
  <c r="AC397" i="28"/>
  <c r="AD397" i="28" s="1"/>
  <c r="B398" i="28"/>
  <c r="A397" i="28"/>
  <c r="D55" i="7"/>
  <c r="E40" i="28"/>
  <c r="D41" i="28"/>
  <c r="AE397" i="28" l="1" a="1"/>
  <c r="AE397" i="28" s="1"/>
  <c r="D56" i="7"/>
  <c r="E41" i="28"/>
  <c r="D42" i="28"/>
  <c r="AC398" i="28"/>
  <c r="AD398" i="28" s="1"/>
  <c r="A398" i="28"/>
  <c r="B399" i="28"/>
  <c r="AE398" i="28" l="1" a="1"/>
  <c r="AE398" i="28" s="1"/>
  <c r="AC399" i="28"/>
  <c r="AD399" i="28" s="1"/>
  <c r="B400" i="28"/>
  <c r="A399" i="28"/>
  <c r="D57" i="7"/>
  <c r="D43" i="28"/>
  <c r="E42" i="28"/>
  <c r="AE399" i="28" l="1" a="1"/>
  <c r="AE399" i="28" s="1"/>
  <c r="D58" i="7"/>
  <c r="D46" i="28"/>
  <c r="E43" i="28"/>
  <c r="AC400" i="28"/>
  <c r="AD400" i="28" s="1"/>
  <c r="A400" i="28"/>
  <c r="B401" i="28"/>
  <c r="AE400" i="28" l="1" a="1"/>
  <c r="AE400" i="28" s="1"/>
  <c r="AC401" i="28"/>
  <c r="AD401" i="28" s="1"/>
  <c r="E401" i="28"/>
  <c r="A401" i="28"/>
  <c r="C401" i="28" s="1"/>
  <c r="B402" i="28"/>
  <c r="D61" i="7"/>
  <c r="E46" i="28"/>
  <c r="D47" i="28"/>
  <c r="AE401" i="28" l="1" a="1"/>
  <c r="AE401" i="28" s="1"/>
  <c r="D62" i="7"/>
  <c r="E47" i="28"/>
  <c r="D48" i="28"/>
  <c r="AC402" i="28"/>
  <c r="AD402" i="28" s="1"/>
  <c r="A402" i="28"/>
  <c r="C402" i="28" s="1"/>
  <c r="E402" i="28"/>
  <c r="B403" i="28"/>
  <c r="AE402" i="28" l="1" a="1"/>
  <c r="AE402" i="28" s="1"/>
  <c r="AC403" i="28"/>
  <c r="AD403" i="28" s="1"/>
  <c r="B404" i="28"/>
  <c r="A403" i="28"/>
  <c r="D63" i="7"/>
  <c r="E48" i="28"/>
  <c r="D49" i="28"/>
  <c r="AE403" i="28" l="1" a="1"/>
  <c r="AE403" i="28" s="1"/>
  <c r="D64" i="7"/>
  <c r="E49" i="28"/>
  <c r="D50" i="28"/>
  <c r="AC404" i="28"/>
  <c r="AD404" i="28" s="1"/>
  <c r="B405" i="28"/>
  <c r="A404" i="28"/>
  <c r="AE404" i="28" l="1" a="1"/>
  <c r="AE404" i="28" s="1"/>
  <c r="AC405" i="28"/>
  <c r="AD405" i="28" s="1"/>
  <c r="A405" i="28"/>
  <c r="B406" i="28"/>
  <c r="D65" i="7"/>
  <c r="E50" i="28"/>
  <c r="D53" i="28"/>
  <c r="AE405" i="28" l="1" a="1"/>
  <c r="AE405" i="28" s="1"/>
  <c r="D68" i="7"/>
  <c r="E53" i="28"/>
  <c r="D54" i="28"/>
  <c r="AC406" i="28"/>
  <c r="AD406" i="28" s="1"/>
  <c r="B407" i="28"/>
  <c r="A406" i="28"/>
  <c r="AE406" i="28" l="1" a="1"/>
  <c r="AE406" i="28" s="1"/>
  <c r="AC407" i="28"/>
  <c r="AD407" i="28" s="1"/>
  <c r="A407" i="28"/>
  <c r="B408" i="28"/>
  <c r="D69" i="7"/>
  <c r="E54" i="28"/>
  <c r="D55" i="28"/>
  <c r="AE407" i="28" l="1" a="1"/>
  <c r="AE407" i="28" s="1"/>
  <c r="D70" i="7"/>
  <c r="E55" i="28"/>
  <c r="D56" i="28"/>
  <c r="AC408" i="28"/>
  <c r="AD408" i="28" s="1"/>
  <c r="E408" i="28"/>
  <c r="B409" i="28"/>
  <c r="A408" i="28"/>
  <c r="C408" i="28" s="1"/>
  <c r="AE408" i="28" l="1" a="1"/>
  <c r="AE408" i="28" s="1"/>
  <c r="AC409" i="28"/>
  <c r="AD409" i="28" s="1"/>
  <c r="E409" i="28"/>
  <c r="B410" i="28"/>
  <c r="A409" i="28"/>
  <c r="C409" i="28" s="1"/>
  <c r="D71" i="7"/>
  <c r="E56" i="28"/>
  <c r="D57" i="28"/>
  <c r="AE409" i="28" l="1" a="1"/>
  <c r="AE409" i="28" s="1"/>
  <c r="D72" i="7"/>
  <c r="E57" i="28"/>
  <c r="D60" i="28"/>
  <c r="AC410" i="28"/>
  <c r="AD410" i="28" s="1"/>
  <c r="B411" i="28"/>
  <c r="A410" i="28"/>
  <c r="AE410" i="28" l="1" a="1"/>
  <c r="AE410" i="28" s="1"/>
  <c r="AC411" i="28"/>
  <c r="AD411" i="28" s="1"/>
  <c r="B412" i="28"/>
  <c r="A411" i="28"/>
  <c r="D75" i="7"/>
  <c r="E60" i="28"/>
  <c r="D61" i="28"/>
  <c r="AE411" i="28" l="1" a="1"/>
  <c r="AE411" i="28" s="1"/>
  <c r="D76" i="7"/>
  <c r="E61" i="28"/>
  <c r="D62" i="28"/>
  <c r="AC412" i="28"/>
  <c r="AD412" i="28" s="1"/>
  <c r="B413" i="28"/>
  <c r="A412" i="28"/>
  <c r="AE412" i="28" l="1" a="1"/>
  <c r="AE412" i="28" s="1"/>
  <c r="AC413" i="28"/>
  <c r="AD413" i="28" s="1"/>
  <c r="A413" i="28"/>
  <c r="B414" i="28"/>
  <c r="D77" i="7"/>
  <c r="E62" i="28"/>
  <c r="D63" i="28"/>
  <c r="AE413" i="28" l="1" a="1"/>
  <c r="AE413" i="28" s="1"/>
  <c r="D78" i="7"/>
  <c r="E63" i="28"/>
  <c r="D64" i="28"/>
  <c r="AC414" i="28"/>
  <c r="AD414" i="28" s="1"/>
  <c r="B415" i="28"/>
  <c r="A414" i="28"/>
  <c r="AE414" i="28" l="1" a="1"/>
  <c r="AE414" i="28" s="1"/>
  <c r="AC415" i="28"/>
  <c r="AD415" i="28" s="1"/>
  <c r="A415" i="28"/>
  <c r="C415" i="28" s="1"/>
  <c r="B416" i="28"/>
  <c r="E415" i="28"/>
  <c r="D79" i="7"/>
  <c r="E64" i="28"/>
  <c r="D67" i="28"/>
  <c r="AE415" i="28" l="1" a="1"/>
  <c r="AE415" i="28" s="1"/>
  <c r="D82" i="7"/>
  <c r="E67" i="28"/>
  <c r="D68" i="28"/>
  <c r="AC416" i="28"/>
  <c r="AD416" i="28" s="1"/>
  <c r="B417" i="28"/>
  <c r="A416" i="28"/>
  <c r="C416" i="28" s="1"/>
  <c r="E416" i="28"/>
  <c r="AE416" i="28" l="1" a="1"/>
  <c r="AE416" i="28" s="1"/>
  <c r="AC417" i="28"/>
  <c r="AD417" i="28" s="1"/>
  <c r="A417" i="28"/>
  <c r="B418" i="28"/>
  <c r="D83" i="7"/>
  <c r="E68" i="28"/>
  <c r="D69" i="28"/>
  <c r="AE417" i="28" l="1" a="1"/>
  <c r="AE417" i="28" s="1"/>
  <c r="D84" i="7"/>
  <c r="E69" i="28"/>
  <c r="D70" i="28"/>
  <c r="AC418" i="28"/>
  <c r="AD418" i="28" s="1"/>
  <c r="B419" i="28"/>
  <c r="A418" i="28"/>
  <c r="AE418" i="28" l="1" a="1"/>
  <c r="AE418" i="28" s="1"/>
  <c r="AC419" i="28"/>
  <c r="AD419" i="28" s="1"/>
  <c r="A419" i="28"/>
  <c r="B420" i="28"/>
  <c r="D85" i="7"/>
  <c r="E70" i="28"/>
  <c r="D71" i="28"/>
  <c r="AE419" i="28" l="1" a="1"/>
  <c r="AE419" i="28" s="1"/>
  <c r="D86" i="7"/>
  <c r="E71" i="28"/>
  <c r="D74" i="28"/>
  <c r="AC420" i="28"/>
  <c r="AD420" i="28" s="1"/>
  <c r="B421" i="28"/>
  <c r="A420" i="28"/>
  <c r="AE420" i="28" l="1" a="1"/>
  <c r="AE420" i="28" s="1"/>
  <c r="AC421" i="28"/>
  <c r="AD421" i="28" s="1"/>
  <c r="A421" i="28"/>
  <c r="B422" i="28"/>
  <c r="D89" i="7"/>
  <c r="E74" i="28"/>
  <c r="D75" i="28"/>
  <c r="AE421" i="28" l="1" a="1"/>
  <c r="AE421" i="28" s="1"/>
  <c r="D90" i="7"/>
  <c r="E75" i="28"/>
  <c r="D76" i="28"/>
  <c r="AC422" i="28"/>
  <c r="AD422" i="28" s="1"/>
  <c r="B423" i="28"/>
  <c r="E422" i="28"/>
  <c r="A422" i="28"/>
  <c r="C422" i="28" s="1"/>
  <c r="AE422" i="28" l="1" a="1"/>
  <c r="AE422" i="28" s="1"/>
  <c r="AC423" i="28"/>
  <c r="AD423" i="28" s="1"/>
  <c r="A423" i="28"/>
  <c r="C423" i="28" s="1"/>
  <c r="E423" i="28"/>
  <c r="B424" i="28"/>
  <c r="D91" i="7"/>
  <c r="E76" i="28"/>
  <c r="D77" i="28"/>
  <c r="AE423" i="28" l="1" a="1"/>
  <c r="AE423" i="28" s="1"/>
  <c r="D92" i="7"/>
  <c r="E77" i="28"/>
  <c r="D78" i="28"/>
  <c r="AC424" i="28"/>
  <c r="AD424" i="28" s="1"/>
  <c r="B425" i="28"/>
  <c r="A424" i="28"/>
  <c r="AE424" i="28" l="1" a="1"/>
  <c r="AE424" i="28" s="1"/>
  <c r="AC425" i="28"/>
  <c r="AD425" i="28" s="1"/>
  <c r="B426" i="28"/>
  <c r="A425" i="28"/>
  <c r="D93" i="7"/>
  <c r="E78" i="28"/>
  <c r="D81" i="28"/>
  <c r="AE425" i="28" l="1" a="1"/>
  <c r="AE425" i="28" s="1"/>
  <c r="D96" i="7"/>
  <c r="E81" i="28"/>
  <c r="D82" i="28"/>
  <c r="AC426" i="28"/>
  <c r="AD426" i="28" s="1"/>
  <c r="A426" i="28"/>
  <c r="B427" i="28"/>
  <c r="AE426" i="28" l="1" a="1"/>
  <c r="AE426" i="28" s="1"/>
  <c r="AC427" i="28"/>
  <c r="AD427" i="28" s="1"/>
  <c r="B428" i="28"/>
  <c r="A427" i="28"/>
  <c r="D97" i="7"/>
  <c r="E82" i="28"/>
  <c r="D83" i="28"/>
  <c r="AE427" i="28" l="1" a="1"/>
  <c r="AE427" i="28" s="1"/>
  <c r="D98" i="7"/>
  <c r="E83" i="28"/>
  <c r="D84" i="28"/>
  <c r="AC428" i="28"/>
  <c r="AD428" i="28" s="1"/>
  <c r="A428" i="28"/>
  <c r="B429" i="28"/>
  <c r="AE428" i="28" l="1" a="1"/>
  <c r="AE428" i="28" s="1"/>
  <c r="AC429" i="28"/>
  <c r="AD429" i="28" s="1"/>
  <c r="A429" i="28"/>
  <c r="C429" i="28" s="1"/>
  <c r="B430" i="28"/>
  <c r="E429" i="28"/>
  <c r="D99" i="7"/>
  <c r="E84" i="28"/>
  <c r="D85" i="28"/>
  <c r="AE429" i="28" l="1" a="1"/>
  <c r="AE429" i="28" s="1"/>
  <c r="D100" i="7"/>
  <c r="E85" i="28"/>
  <c r="D88" i="28"/>
  <c r="AC430" i="28"/>
  <c r="AD430" i="28" s="1"/>
  <c r="A430" i="28"/>
  <c r="C430" i="28" s="1"/>
  <c r="E430" i="28"/>
  <c r="B431" i="28"/>
  <c r="AE430" i="28" l="1" a="1"/>
  <c r="AE430" i="28" s="1"/>
  <c r="AC431" i="28"/>
  <c r="AD431" i="28" s="1"/>
  <c r="B432" i="28"/>
  <c r="A431" i="28"/>
  <c r="D103" i="7"/>
  <c r="E88" i="28"/>
  <c r="D89" i="28"/>
  <c r="AE431" i="28" l="1" a="1"/>
  <c r="AE431" i="28" s="1"/>
  <c r="D104" i="7"/>
  <c r="E89" i="28"/>
  <c r="D90" i="28"/>
  <c r="AC432" i="28"/>
  <c r="AD432" i="28" s="1"/>
  <c r="B433" i="28"/>
  <c r="A432" i="28"/>
  <c r="AE432" i="28" l="1" a="1"/>
  <c r="AE432" i="28" s="1"/>
  <c r="AC433" i="28"/>
  <c r="AD433" i="28" s="1"/>
  <c r="A433" i="28"/>
  <c r="B434" i="28"/>
  <c r="D105" i="7"/>
  <c r="E90" i="28"/>
  <c r="D91" i="28"/>
  <c r="AE433" i="28" l="1" a="1"/>
  <c r="AE433" i="28" s="1"/>
  <c r="D106" i="7"/>
  <c r="E91" i="28"/>
  <c r="D92" i="28"/>
  <c r="AC434" i="28"/>
  <c r="AD434" i="28" s="1"/>
  <c r="B435" i="28"/>
  <c r="A434" i="28"/>
  <c r="AE434" i="28" l="1" a="1"/>
  <c r="AE434" i="28" s="1"/>
  <c r="AC435" i="28"/>
  <c r="AD435" i="28" s="1"/>
  <c r="A435" i="28"/>
  <c r="B436" i="28"/>
  <c r="D95" i="28"/>
  <c r="D107" i="7"/>
  <c r="E92" i="28"/>
  <c r="AE435" i="28" l="1" a="1"/>
  <c r="AE435" i="28" s="1"/>
  <c r="D110" i="7"/>
  <c r="E95" i="28"/>
  <c r="K6" i="28" s="1"/>
  <c r="L6" i="28" s="1"/>
  <c r="D96" i="28"/>
  <c r="AC436" i="28"/>
  <c r="AD436" i="28" s="1"/>
  <c r="B437" i="28"/>
  <c r="A436" i="28"/>
  <c r="C436" i="28" s="1"/>
  <c r="E436" i="28"/>
  <c r="AE436" i="28" l="1" a="1"/>
  <c r="AE436" i="28" s="1"/>
  <c r="AC437" i="28"/>
  <c r="AD437" i="28" s="1"/>
  <c r="A437" i="28"/>
  <c r="C437" i="28" s="1"/>
  <c r="B438" i="28"/>
  <c r="E437" i="28"/>
  <c r="E96" i="28"/>
  <c r="D97" i="28"/>
  <c r="D16" i="7"/>
  <c r="AE437" i="28" l="1" a="1"/>
  <c r="AE437" i="28" s="1"/>
  <c r="E97" i="28"/>
  <c r="D98" i="28"/>
  <c r="AC438" i="28"/>
  <c r="AD438" i="28" s="1"/>
  <c r="A438" i="28"/>
  <c r="B439" i="28"/>
  <c r="AE438" i="28" l="1" a="1"/>
  <c r="AE438" i="28" s="1"/>
  <c r="AC439" i="28"/>
  <c r="AD439" i="28" s="1"/>
  <c r="AE439" i="28" s="1" a="1"/>
  <c r="AE439" i="28" s="1"/>
  <c r="B440" i="28"/>
  <c r="A439" i="28"/>
  <c r="E98" i="28"/>
  <c r="D99" i="28"/>
  <c r="E99" i="28" l="1"/>
  <c r="D102" i="28"/>
  <c r="AC440" i="28"/>
  <c r="AD440" i="28" s="1"/>
  <c r="AE440" i="28" s="1" a="1"/>
  <c r="AE440" i="28" s="1"/>
  <c r="A440" i="28"/>
  <c r="B441" i="28"/>
  <c r="AC441" i="28" l="1"/>
  <c r="AD441" i="28" s="1"/>
  <c r="B442" i="28"/>
  <c r="A441" i="28"/>
  <c r="E102" i="28"/>
  <c r="D103" i="28"/>
  <c r="E103" i="28" l="1"/>
  <c r="D104" i="28"/>
  <c r="AC442" i="28"/>
  <c r="A442" i="28"/>
  <c r="B443" i="28"/>
  <c r="AD442" i="28"/>
  <c r="AE441" i="28" a="1"/>
  <c r="AE441" i="28" s="1"/>
  <c r="AE442" i="28" l="1" a="1"/>
  <c r="AE442" i="28" s="1"/>
  <c r="AC443" i="28"/>
  <c r="AD443" i="28" s="1"/>
  <c r="A443" i="28"/>
  <c r="C443" i="28" s="1"/>
  <c r="E443" i="28"/>
  <c r="B444" i="28"/>
  <c r="E104" i="28"/>
  <c r="D105" i="28"/>
  <c r="AE443" i="28" l="1" a="1"/>
  <c r="AE443" i="28" s="1"/>
  <c r="E105" i="28"/>
  <c r="D106" i="28"/>
  <c r="AC444" i="28"/>
  <c r="AD444" i="28" s="1"/>
  <c r="A444" i="28"/>
  <c r="C444" i="28" s="1"/>
  <c r="B445" i="28"/>
  <c r="E444" i="28"/>
  <c r="AE444" i="28" l="1" a="1"/>
  <c r="AE444" i="28" s="1"/>
  <c r="AC445" i="28"/>
  <c r="AD445" i="28" s="1"/>
  <c r="A445" i="28"/>
  <c r="B446" i="28"/>
  <c r="E106" i="28"/>
  <c r="D109" i="28"/>
  <c r="AE445" i="28" l="1" a="1"/>
  <c r="AE445" i="28" s="1"/>
  <c r="E109" i="28"/>
  <c r="D110" i="28"/>
  <c r="AC446" i="28"/>
  <c r="AD446" i="28" s="1"/>
  <c r="A446" i="28"/>
  <c r="B447" i="28"/>
  <c r="AE446" i="28" l="1" a="1"/>
  <c r="AE446" i="28" s="1"/>
  <c r="AC447" i="28"/>
  <c r="AD447" i="28" s="1"/>
  <c r="B448" i="28"/>
  <c r="A447" i="28"/>
  <c r="E110" i="28"/>
  <c r="D111" i="28"/>
  <c r="AE447" i="28" l="1" a="1"/>
  <c r="AE447" i="28" s="1"/>
  <c r="E111" i="28"/>
  <c r="D112" i="28"/>
  <c r="AC448" i="28"/>
  <c r="AD448" i="28" s="1"/>
  <c r="A448" i="28"/>
  <c r="B449" i="28"/>
  <c r="AE448" i="28" l="1" a="1"/>
  <c r="AE448" i="28" s="1"/>
  <c r="AC449" i="28"/>
  <c r="AD449" i="28" s="1"/>
  <c r="A449" i="28"/>
  <c r="B450" i="28"/>
  <c r="E112" i="28"/>
  <c r="D113" i="28"/>
  <c r="AE449" i="28" l="1" a="1"/>
  <c r="AE449" i="28" s="1"/>
  <c r="E113" i="28"/>
  <c r="D116" i="28"/>
  <c r="AC450" i="28"/>
  <c r="AD450" i="28" s="1"/>
  <c r="E450" i="28"/>
  <c r="B451" i="28"/>
  <c r="A450" i="28"/>
  <c r="C450" i="28" s="1"/>
  <c r="AE450" i="28" l="1" a="1"/>
  <c r="AE450" i="28" s="1"/>
  <c r="AC451" i="28"/>
  <c r="AD451" i="28" s="1"/>
  <c r="B452" i="28"/>
  <c r="E451" i="28"/>
  <c r="A451" i="28"/>
  <c r="C451" i="28" s="1"/>
  <c r="E116" i="28"/>
  <c r="D117" i="28"/>
  <c r="AE451" i="28" l="1" a="1"/>
  <c r="AE451" i="28" s="1"/>
  <c r="E117" i="28"/>
  <c r="D118" i="28"/>
  <c r="AC452" i="28"/>
  <c r="AD452" i="28" s="1"/>
  <c r="B453" i="28"/>
  <c r="A452" i="28"/>
  <c r="AE452" i="28" l="1" a="1"/>
  <c r="AE452" i="28" s="1"/>
  <c r="AC453" i="28"/>
  <c r="AD453" i="28" s="1"/>
  <c r="B454" i="28"/>
  <c r="A453" i="28"/>
  <c r="E118" i="28"/>
  <c r="D119" i="28"/>
  <c r="AE453" i="28" l="1" a="1"/>
  <c r="AE453" i="28" s="1"/>
  <c r="E119" i="28"/>
  <c r="D120" i="28"/>
  <c r="AC454" i="28"/>
  <c r="AD454" i="28" s="1"/>
  <c r="B455" i="28"/>
  <c r="A454" i="28"/>
  <c r="AE454" i="28" l="1" a="1"/>
  <c r="AE454" i="28" s="1"/>
  <c r="AC455" i="28"/>
  <c r="AD455" i="28" s="1"/>
  <c r="B456" i="28"/>
  <c r="A455" i="28"/>
  <c r="E120" i="28"/>
  <c r="D123" i="28"/>
  <c r="AE455" i="28" l="1" a="1"/>
  <c r="AE455" i="28" s="1"/>
  <c r="E123" i="28"/>
  <c r="D124" i="28"/>
  <c r="AC456" i="28"/>
  <c r="AD456" i="28" s="1"/>
  <c r="A456" i="28"/>
  <c r="B457" i="28"/>
  <c r="AE456" i="28" l="1" a="1"/>
  <c r="AE456" i="28" s="1"/>
  <c r="AC457" i="28"/>
  <c r="AD457" i="28" s="1"/>
  <c r="A457" i="28"/>
  <c r="C457" i="28" s="1"/>
  <c r="B458" i="28"/>
  <c r="E457" i="28"/>
  <c r="E124" i="28"/>
  <c r="D125" i="28"/>
  <c r="AE457" i="28" l="1" a="1"/>
  <c r="AE457" i="28" s="1"/>
  <c r="E125" i="28"/>
  <c r="D126" i="28"/>
  <c r="AC458" i="28"/>
  <c r="AD458" i="28" s="1"/>
  <c r="B459" i="28"/>
  <c r="E458" i="28"/>
  <c r="A458" i="28"/>
  <c r="C458" i="28" s="1"/>
  <c r="AE458" i="28" l="1" a="1"/>
  <c r="AE458" i="28" s="1"/>
  <c r="AC459" i="28"/>
  <c r="AD459" i="28" s="1"/>
  <c r="B460" i="28"/>
  <c r="A459" i="28"/>
  <c r="E126" i="28"/>
  <c r="D127" i="28"/>
  <c r="AE459" i="28" l="1" a="1"/>
  <c r="AE459" i="28" s="1"/>
  <c r="E127" i="28"/>
  <c r="D130" i="28"/>
  <c r="AC460" i="28"/>
  <c r="AD460" i="28" s="1"/>
  <c r="B461" i="28"/>
  <c r="A460" i="28"/>
  <c r="AE460" i="28" l="1" a="1"/>
  <c r="AE460" i="28" s="1"/>
  <c r="AC461" i="28"/>
  <c r="AD461" i="28" s="1"/>
  <c r="B462" i="28"/>
  <c r="A461" i="28"/>
  <c r="E130" i="28"/>
  <c r="D131" i="28"/>
  <c r="AE461" i="28" l="1" a="1"/>
  <c r="AE461" i="28" s="1"/>
  <c r="E131" i="28"/>
  <c r="D132" i="28"/>
  <c r="AC462" i="28"/>
  <c r="AD462" i="28" s="1"/>
  <c r="B463" i="28"/>
  <c r="A462" i="28"/>
  <c r="AE462" i="28" l="1" a="1"/>
  <c r="AE462" i="28" s="1"/>
  <c r="AC463" i="28"/>
  <c r="AD463" i="28" s="1"/>
  <c r="B464" i="28"/>
  <c r="A463" i="28"/>
  <c r="E132" i="28"/>
  <c r="D133" i="28"/>
  <c r="AE463" i="28" l="1" a="1"/>
  <c r="AE463" i="28" s="1"/>
  <c r="E133" i="28"/>
  <c r="D134" i="28"/>
  <c r="AC464" i="28"/>
  <c r="AD464" i="28" s="1"/>
  <c r="B465" i="28"/>
  <c r="A464" i="28"/>
  <c r="C464" i="28" s="1"/>
  <c r="E464" i="28"/>
  <c r="AE464" i="28" l="1" a="1"/>
  <c r="AE464" i="28" s="1"/>
  <c r="AC465" i="28"/>
  <c r="AD465" i="28" s="1"/>
  <c r="B466" i="28"/>
  <c r="E465" i="28"/>
  <c r="A465" i="28"/>
  <c r="C465" i="28" s="1"/>
  <c r="E134" i="28"/>
  <c r="D137" i="28"/>
  <c r="AE465" i="28" l="1" a="1"/>
  <c r="AE465" i="28" s="1"/>
  <c r="E137" i="28"/>
  <c r="D138" i="28"/>
  <c r="AC466" i="28"/>
  <c r="AD466" i="28" s="1"/>
  <c r="B467" i="28"/>
  <c r="A466" i="28"/>
  <c r="AE466" i="28" l="1" a="1"/>
  <c r="AE466" i="28" s="1"/>
  <c r="AC467" i="28"/>
  <c r="AD467" i="28" s="1"/>
  <c r="B468" i="28"/>
  <c r="A467" i="28"/>
  <c r="E138" i="28"/>
  <c r="D139" i="28"/>
  <c r="AE467" i="28" l="1" a="1"/>
  <c r="AE467" i="28" s="1"/>
  <c r="E139" i="28"/>
  <c r="D140" i="28"/>
  <c r="AC468" i="28"/>
  <c r="AD468" i="28" s="1"/>
  <c r="B469" i="28"/>
  <c r="A468" i="28"/>
  <c r="AE468" i="28" l="1" a="1"/>
  <c r="AE468" i="28" s="1"/>
  <c r="AC469" i="28"/>
  <c r="AD469" i="28" s="1"/>
  <c r="B470" i="28"/>
  <c r="A469" i="28"/>
  <c r="E140" i="28"/>
  <c r="D141" i="28"/>
  <c r="AE469" i="28" l="1" a="1"/>
  <c r="AE469" i="28" s="1"/>
  <c r="E141" i="28"/>
  <c r="D144" i="28"/>
  <c r="AC470" i="28"/>
  <c r="AD470" i="28" s="1"/>
  <c r="A470" i="28"/>
  <c r="B471" i="28"/>
  <c r="AE470" i="28" l="1" a="1"/>
  <c r="AE470" i="28" s="1"/>
  <c r="AC471" i="28"/>
  <c r="AD471" i="28" s="1"/>
  <c r="A471" i="28"/>
  <c r="C471" i="28" s="1"/>
  <c r="B472" i="28"/>
  <c r="E471" i="28"/>
  <c r="E144" i="28"/>
  <c r="D145" i="28"/>
  <c r="AE471" i="28" l="1" a="1"/>
  <c r="AE471" i="28" s="1"/>
  <c r="E145" i="28"/>
  <c r="D146" i="28"/>
  <c r="AC472" i="28"/>
  <c r="AD472" i="28" s="1"/>
  <c r="E472" i="28"/>
  <c r="B473" i="28"/>
  <c r="A472" i="28"/>
  <c r="C472" i="28" s="1"/>
  <c r="AE472" i="28" l="1" a="1"/>
  <c r="AE472" i="28" s="1"/>
  <c r="AC473" i="28"/>
  <c r="AD473" i="28" s="1"/>
  <c r="A473" i="28"/>
  <c r="B474" i="28"/>
  <c r="E146" i="28"/>
  <c r="D147" i="28"/>
  <c r="AE473" i="28" l="1" a="1"/>
  <c r="AE473" i="28" s="1"/>
  <c r="E147" i="28"/>
  <c r="D148" i="28"/>
  <c r="AC474" i="28"/>
  <c r="AD474" i="28" s="1"/>
  <c r="A474" i="28"/>
  <c r="B475" i="28"/>
  <c r="AE474" i="28" l="1" a="1"/>
  <c r="AE474" i="28" s="1"/>
  <c r="AC475" i="28"/>
  <c r="AD475" i="28" s="1"/>
  <c r="B476" i="28"/>
  <c r="A475" i="28"/>
  <c r="E148" i="28"/>
  <c r="D151" i="28"/>
  <c r="AE475" i="28" l="1" a="1"/>
  <c r="AE475" i="28" s="1"/>
  <c r="E151" i="28"/>
  <c r="D152" i="28"/>
  <c r="AC476" i="28"/>
  <c r="AD476" i="28" s="1"/>
  <c r="B477" i="28"/>
  <c r="A476" i="28"/>
  <c r="AE476" i="28" l="1" a="1"/>
  <c r="AE476" i="28" s="1"/>
  <c r="AC477" i="28"/>
  <c r="AD477" i="28" s="1"/>
  <c r="B478" i="28"/>
  <c r="A477" i="28"/>
  <c r="E152" i="28"/>
  <c r="D153" i="28"/>
  <c r="AE477" i="28" l="1" a="1"/>
  <c r="AE477" i="28" s="1"/>
  <c r="E153" i="28"/>
  <c r="D154" i="28"/>
  <c r="AC478" i="28"/>
  <c r="AD478" i="28" s="1"/>
  <c r="B479" i="28"/>
  <c r="A478" i="28"/>
  <c r="C478" i="28" s="1"/>
  <c r="E478" i="28"/>
  <c r="AE478" i="28" l="1" a="1"/>
  <c r="AE478" i="28" s="1"/>
  <c r="AC479" i="28"/>
  <c r="AD479" i="28" s="1"/>
  <c r="E479" i="28"/>
  <c r="A479" i="28"/>
  <c r="C479" i="28" s="1"/>
  <c r="B480" i="28"/>
  <c r="E154" i="28"/>
  <c r="D155" i="28"/>
  <c r="AE479" i="28" l="1" a="1"/>
  <c r="AE479" i="28" s="1"/>
  <c r="E155" i="28"/>
  <c r="D158" i="28"/>
  <c r="AC480" i="28"/>
  <c r="AD480" i="28" s="1"/>
  <c r="A480" i="28"/>
  <c r="B481" i="28"/>
  <c r="AE480" i="28" l="1" a="1"/>
  <c r="AE480" i="28" s="1"/>
  <c r="AC481" i="28"/>
  <c r="AD481" i="28" s="1"/>
  <c r="AE481" i="28" s="1" a="1"/>
  <c r="AE481" i="28" s="1"/>
  <c r="B482" i="28"/>
  <c r="A481" i="28"/>
  <c r="E158" i="28"/>
  <c r="D159" i="28"/>
  <c r="E159" i="28" l="1"/>
  <c r="D160" i="28"/>
  <c r="AC482" i="28"/>
  <c r="AD482" i="28" s="1"/>
  <c r="AE482" i="28" s="1" a="1"/>
  <c r="AE482" i="28" s="1"/>
  <c r="B483" i="28"/>
  <c r="A482" i="28"/>
  <c r="AC483" i="28" l="1"/>
  <c r="AD483" i="28" s="1"/>
  <c r="B484" i="28"/>
  <c r="A483" i="28"/>
  <c r="E160" i="28"/>
  <c r="D161" i="28"/>
  <c r="E161" i="28" l="1"/>
  <c r="D162" i="28"/>
  <c r="AC484" i="28"/>
  <c r="A484" i="28"/>
  <c r="B485" i="28"/>
  <c r="AD484" i="28"/>
  <c r="AE483" i="28" a="1"/>
  <c r="AE483" i="28" s="1"/>
  <c r="AE484" i="28" l="1" a="1"/>
  <c r="AE484" i="28" s="1"/>
  <c r="AC485" i="28"/>
  <c r="AD485" i="28" s="1"/>
  <c r="A485" i="28"/>
  <c r="C485" i="28" s="1"/>
  <c r="E485" i="28"/>
  <c r="B486" i="28"/>
  <c r="E162" i="28"/>
  <c r="D165" i="28"/>
  <c r="AE485" i="28" l="1" a="1"/>
  <c r="AE485" i="28" s="1"/>
  <c r="E165" i="28"/>
  <c r="D166" i="28"/>
  <c r="AC486" i="28"/>
  <c r="AD486" i="28" s="1"/>
  <c r="A486" i="28"/>
  <c r="C486" i="28" s="1"/>
  <c r="B487" i="28"/>
  <c r="E486" i="28"/>
  <c r="AE486" i="28" l="1" a="1"/>
  <c r="AE486" i="28" s="1"/>
  <c r="AC487" i="28"/>
  <c r="AD487" i="28" s="1"/>
  <c r="A487" i="28"/>
  <c r="B488" i="28"/>
  <c r="E166" i="28"/>
  <c r="D167" i="28"/>
  <c r="AE487" i="28" l="1" a="1"/>
  <c r="AE487" i="28" s="1"/>
  <c r="E167" i="28"/>
  <c r="D168" i="28"/>
  <c r="AC488" i="28"/>
  <c r="AD488" i="28" s="1"/>
  <c r="A488" i="28"/>
  <c r="B489" i="28"/>
  <c r="AE488" i="28" l="1" a="1"/>
  <c r="AE488" i="28" s="1"/>
  <c r="AC489" i="28"/>
  <c r="AD489" i="28" s="1"/>
  <c r="B490" i="28"/>
  <c r="A489" i="28"/>
  <c r="E168" i="28"/>
  <c r="D169" i="28"/>
  <c r="AE489" i="28" l="1" a="1"/>
  <c r="AE489" i="28" s="1"/>
  <c r="E169" i="28"/>
  <c r="D172" i="28"/>
  <c r="AC490" i="28"/>
  <c r="AD490" i="28" s="1"/>
  <c r="B491" i="28"/>
  <c r="A490" i="28"/>
  <c r="AE490" i="28" l="1" a="1"/>
  <c r="AE490" i="28" s="1"/>
  <c r="AC491" i="28"/>
  <c r="AD491" i="28" s="1"/>
  <c r="A491" i="28"/>
  <c r="B492" i="28"/>
  <c r="E172" i="28"/>
  <c r="D173" i="28"/>
  <c r="AE491" i="28" l="1" a="1"/>
  <c r="AE491" i="28" s="1"/>
  <c r="E173" i="28"/>
  <c r="D174" i="28"/>
  <c r="AC492" i="28"/>
  <c r="AD492" i="28" s="1"/>
  <c r="E492" i="28"/>
  <c r="A492" i="28"/>
  <c r="C492" i="28" s="1"/>
  <c r="B493" i="28"/>
  <c r="AE492" i="28" l="1" a="1"/>
  <c r="AE492" i="28" s="1"/>
  <c r="AC493" i="28"/>
  <c r="AD493" i="28" s="1"/>
  <c r="B494" i="28"/>
  <c r="E493" i="28"/>
  <c r="A493" i="28"/>
  <c r="C493" i="28" s="1"/>
  <c r="E174" i="28"/>
  <c r="D175" i="28"/>
  <c r="AE493" i="28" l="1" a="1"/>
  <c r="AE493" i="28" s="1"/>
  <c r="E175" i="28"/>
  <c r="D176" i="28"/>
  <c r="AC494" i="28"/>
  <c r="AD494" i="28" s="1"/>
  <c r="B495" i="28"/>
  <c r="A494" i="28"/>
  <c r="AE494" i="28" l="1" a="1"/>
  <c r="AE494" i="28" s="1"/>
  <c r="AC495" i="28"/>
  <c r="AD495" i="28" s="1"/>
  <c r="B496" i="28"/>
  <c r="A495" i="28"/>
  <c r="E176" i="28"/>
  <c r="D179" i="28"/>
  <c r="AE495" i="28" l="1" a="1"/>
  <c r="AE495" i="28" s="1"/>
  <c r="E179" i="28"/>
  <c r="D180" i="28"/>
  <c r="AC496" i="28"/>
  <c r="AD496" i="28" s="1"/>
  <c r="A496" i="28"/>
  <c r="B497" i="28"/>
  <c r="AE496" i="28" l="1" a="1"/>
  <c r="AE496" i="28" s="1"/>
  <c r="AC497" i="28"/>
  <c r="AD497" i="28" s="1"/>
  <c r="A497" i="28"/>
  <c r="B498" i="28"/>
  <c r="E180" i="28"/>
  <c r="D181" i="28"/>
  <c r="AE497" i="28" l="1" a="1"/>
  <c r="AE497" i="28" s="1"/>
  <c r="E181" i="28"/>
  <c r="D182" i="28"/>
  <c r="AC498" i="28"/>
  <c r="AD498" i="28" s="1"/>
  <c r="A498" i="28"/>
  <c r="B499" i="28"/>
  <c r="AE498" i="28" l="1" a="1"/>
  <c r="AE498" i="28" s="1"/>
  <c r="AC499" i="28"/>
  <c r="AD499" i="28" s="1"/>
  <c r="A499" i="28"/>
  <c r="C499" i="28" s="1"/>
  <c r="E499" i="28"/>
  <c r="B500" i="28"/>
  <c r="E182" i="28"/>
  <c r="D183" i="28"/>
  <c r="AE499" i="28" l="1" a="1"/>
  <c r="AE499" i="28" s="1"/>
  <c r="E183" i="28"/>
  <c r="D186" i="28"/>
  <c r="AC500" i="28"/>
  <c r="AD500" i="28" s="1"/>
  <c r="E500" i="28"/>
  <c r="A500" i="28"/>
  <c r="C500" i="28" s="1"/>
  <c r="B501" i="28"/>
  <c r="AE500" i="28" l="1" a="1"/>
  <c r="AE500" i="28" s="1"/>
  <c r="AC501" i="28"/>
  <c r="AD501" i="28" s="1"/>
  <c r="B502" i="28"/>
  <c r="A501" i="28"/>
  <c r="E186" i="28"/>
  <c r="D187" i="28"/>
  <c r="AE501" i="28" l="1" a="1"/>
  <c r="AE501" i="28" s="1"/>
  <c r="E187" i="28"/>
  <c r="K7" i="28" s="1"/>
  <c r="L7" i="28" s="1"/>
  <c r="D188" i="28"/>
  <c r="AC502" i="28"/>
  <c r="AD502" i="28" s="1"/>
  <c r="A502" i="28"/>
  <c r="B503" i="28"/>
  <c r="AE502" i="28" l="1" a="1"/>
  <c r="AE502" i="28" s="1"/>
  <c r="AC503" i="28"/>
  <c r="AD503" i="28" s="1"/>
  <c r="A503" i="28"/>
  <c r="B504" i="28"/>
  <c r="E188" i="28"/>
  <c r="D189" i="28"/>
  <c r="AE503" i="28" l="1" a="1"/>
  <c r="AE503" i="28" s="1"/>
  <c r="E189" i="28"/>
  <c r="D190" i="28"/>
  <c r="AC504" i="28"/>
  <c r="AD504" i="28" s="1"/>
  <c r="B505" i="28"/>
  <c r="A504" i="28"/>
  <c r="AE504" i="28" l="1" a="1"/>
  <c r="AE504" i="28" s="1"/>
  <c r="AC505" i="28"/>
  <c r="AD505" i="28" s="1"/>
  <c r="A505" i="28"/>
  <c r="B506" i="28"/>
  <c r="E190" i="28"/>
  <c r="D193" i="28"/>
  <c r="AE505" i="28" l="1" a="1"/>
  <c r="AE505" i="28" s="1"/>
  <c r="E193" i="28"/>
  <c r="D194" i="28"/>
  <c r="AC506" i="28"/>
  <c r="AD506" i="28" s="1"/>
  <c r="A506" i="28"/>
  <c r="C506" i="28" s="1"/>
  <c r="E506" i="28"/>
  <c r="B507" i="28"/>
  <c r="AE506" i="28" l="1" a="1"/>
  <c r="AE506" i="28" s="1"/>
  <c r="AC507" i="28"/>
  <c r="AD507" i="28" s="1"/>
  <c r="B508" i="28"/>
  <c r="A507" i="28"/>
  <c r="C507" i="28" s="1"/>
  <c r="E507" i="28"/>
  <c r="E194" i="28"/>
  <c r="D195" i="28"/>
  <c r="AE507" i="28" l="1" a="1"/>
  <c r="AE507" i="28" s="1"/>
  <c r="E195" i="28"/>
  <c r="D196" i="28"/>
  <c r="AC508" i="28"/>
  <c r="AD508" i="28" s="1"/>
  <c r="B509" i="28"/>
  <c r="A508" i="28"/>
  <c r="AE508" i="28" l="1" a="1"/>
  <c r="AE508" i="28" s="1"/>
  <c r="AC509" i="28"/>
  <c r="AD509" i="28" s="1"/>
  <c r="B510" i="28"/>
  <c r="A509" i="28"/>
  <c r="E196" i="28"/>
  <c r="D197" i="28"/>
  <c r="AE509" i="28" l="1" a="1"/>
  <c r="AE509" i="28" s="1"/>
  <c r="E197" i="28"/>
  <c r="D200" i="28"/>
  <c r="AC510" i="28"/>
  <c r="AD510" i="28" s="1"/>
  <c r="B511" i="28"/>
  <c r="A510" i="28"/>
  <c r="AE510" i="28" l="1" a="1"/>
  <c r="AE510" i="28" s="1"/>
  <c r="AC511" i="28"/>
  <c r="AD511" i="28" s="1"/>
  <c r="B512" i="28"/>
  <c r="A511" i="28"/>
  <c r="E200" i="28"/>
  <c r="D201" i="28"/>
  <c r="AE511" i="28" l="1" a="1"/>
  <c r="AE511" i="28" s="1"/>
  <c r="E201" i="28"/>
  <c r="D202" i="28"/>
  <c r="AC512" i="28"/>
  <c r="AD512" i="28" s="1"/>
  <c r="B513" i="28"/>
  <c r="A512" i="28"/>
  <c r="AE512" i="28" l="1" a="1"/>
  <c r="AE512" i="28" s="1"/>
  <c r="AC513" i="28"/>
  <c r="AD513" i="28" s="1"/>
  <c r="E513" i="28"/>
  <c r="A513" i="28"/>
  <c r="C513" i="28" s="1"/>
  <c r="B514" i="28"/>
  <c r="E202" i="28"/>
  <c r="D203" i="28"/>
  <c r="AE513" i="28" l="1" a="1"/>
  <c r="AE513" i="28" s="1"/>
  <c r="E203" i="28"/>
  <c r="D204" i="28"/>
  <c r="AC514" i="28"/>
  <c r="AD514" i="28" s="1"/>
  <c r="E514" i="28"/>
  <c r="B515" i="28"/>
  <c r="A514" i="28"/>
  <c r="C514" i="28" s="1"/>
  <c r="AE514" i="28" l="1" a="1"/>
  <c r="AE514" i="28" s="1"/>
  <c r="AC515" i="28"/>
  <c r="AD515" i="28" s="1"/>
  <c r="B516" i="28"/>
  <c r="A515" i="28"/>
  <c r="E204" i="28"/>
  <c r="D207" i="28"/>
  <c r="AE515" i="28" l="1" a="1"/>
  <c r="AE515" i="28" s="1"/>
  <c r="E207" i="28"/>
  <c r="D208" i="28"/>
  <c r="AC516" i="28"/>
  <c r="AD516" i="28" s="1"/>
  <c r="A516" i="28"/>
  <c r="B517" i="28"/>
  <c r="AE516" i="28" l="1" a="1"/>
  <c r="AE516" i="28" s="1"/>
  <c r="AC517" i="28"/>
  <c r="AD517" i="28" s="1"/>
  <c r="B518" i="28"/>
  <c r="A517" i="28"/>
  <c r="E208" i="28"/>
  <c r="D209" i="28"/>
  <c r="AE517" i="28" l="1" a="1"/>
  <c r="AE517" i="28" s="1"/>
  <c r="E209" i="28"/>
  <c r="D210" i="28"/>
  <c r="AC518" i="28"/>
  <c r="AD518" i="28" s="1"/>
  <c r="B519" i="28"/>
  <c r="A518" i="28"/>
  <c r="AE518" i="28" l="1" a="1"/>
  <c r="AE518" i="28" s="1"/>
  <c r="AC519" i="28"/>
  <c r="AD519" i="28" s="1"/>
  <c r="B520" i="28"/>
  <c r="A519" i="28"/>
  <c r="E210" i="28"/>
  <c r="D211" i="28"/>
  <c r="AE519" i="28" l="1" a="1"/>
  <c r="AE519" i="28" s="1"/>
  <c r="E211" i="28"/>
  <c r="D214" i="28"/>
  <c r="AC520" i="28"/>
  <c r="AD520" i="28" s="1"/>
  <c r="A520" i="28"/>
  <c r="C520" i="28" s="1"/>
  <c r="B521" i="28"/>
  <c r="E520" i="28"/>
  <c r="AE520" i="28" l="1" a="1"/>
  <c r="AE520" i="28" s="1"/>
  <c r="AC521" i="28"/>
  <c r="AD521" i="28" s="1"/>
  <c r="E521" i="28"/>
  <c r="A521" i="28"/>
  <c r="C521" i="28" s="1"/>
  <c r="B522" i="28"/>
  <c r="E214" i="28"/>
  <c r="D215" i="28"/>
  <c r="AE521" i="28" l="1" a="1"/>
  <c r="AE521" i="28" s="1"/>
  <c r="E215" i="28"/>
  <c r="D216" i="28"/>
  <c r="AC522" i="28"/>
  <c r="AD522" i="28" s="1"/>
  <c r="B523" i="28"/>
  <c r="A522" i="28"/>
  <c r="AE522" i="28" l="1" a="1"/>
  <c r="AE522" i="28" s="1"/>
  <c r="AC523" i="28"/>
  <c r="AD523" i="28" s="1"/>
  <c r="B524" i="28"/>
  <c r="A523" i="28"/>
  <c r="E216" i="28"/>
  <c r="D217" i="28"/>
  <c r="AE523" i="28" l="1" a="1"/>
  <c r="AE523" i="28" s="1"/>
  <c r="E217" i="28"/>
  <c r="D218" i="28"/>
  <c r="AC524" i="28"/>
  <c r="AD524" i="28" s="1"/>
  <c r="A524" i="28"/>
  <c r="B525" i="28"/>
  <c r="AE524" i="28" l="1" a="1"/>
  <c r="AE524" i="28" s="1"/>
  <c r="AC525" i="28"/>
  <c r="AD525" i="28" s="1"/>
  <c r="A525" i="28"/>
  <c r="B526" i="28"/>
  <c r="E218" i="28"/>
  <c r="D221" i="28"/>
  <c r="AE525" i="28" l="1" a="1"/>
  <c r="AE525" i="28" s="1"/>
  <c r="E221" i="28"/>
  <c r="D222" i="28"/>
  <c r="AC526" i="28"/>
  <c r="AD526" i="28" s="1"/>
  <c r="A526" i="28"/>
  <c r="B527" i="28"/>
  <c r="AE526" i="28" l="1" a="1"/>
  <c r="AE526" i="28" s="1"/>
  <c r="AC527" i="28"/>
  <c r="AD527" i="28" s="1"/>
  <c r="B528" i="28"/>
  <c r="A527" i="28"/>
  <c r="C527" i="28" s="1"/>
  <c r="E527" i="28"/>
  <c r="D223" i="28"/>
  <c r="E222" i="28"/>
  <c r="AE527" i="28" l="1" a="1"/>
  <c r="AE527" i="28" s="1"/>
  <c r="E223" i="28"/>
  <c r="D224" i="28"/>
  <c r="AC528" i="28"/>
  <c r="AD528" i="28" s="1"/>
  <c r="A528" i="28"/>
  <c r="C528" i="28" s="1"/>
  <c r="B529" i="28"/>
  <c r="E528" i="28"/>
  <c r="AE528" i="28" l="1" a="1"/>
  <c r="AE528" i="28" s="1"/>
  <c r="AC529" i="28"/>
  <c r="AD529" i="28" s="1"/>
  <c r="A529" i="28"/>
  <c r="B530" i="28"/>
  <c r="E224" i="28"/>
  <c r="D225" i="28"/>
  <c r="AE529" i="28" l="1" a="1"/>
  <c r="AE529" i="28" s="1"/>
  <c r="E225" i="28"/>
  <c r="D228" i="28"/>
  <c r="AC530" i="28"/>
  <c r="AD530" i="28" s="1"/>
  <c r="AE530" i="28" s="1" a="1"/>
  <c r="AE530" i="28" s="1"/>
  <c r="A530" i="28"/>
  <c r="B531" i="28"/>
  <c r="AC531" i="28" l="1"/>
  <c r="AD531" i="28" s="1"/>
  <c r="AE531" i="28" s="1" a="1"/>
  <c r="AE531" i="28" s="1"/>
  <c r="A531" i="28"/>
  <c r="B532" i="28"/>
  <c r="E228" i="28"/>
  <c r="D229" i="28"/>
  <c r="E229" i="28" l="1"/>
  <c r="D230" i="28"/>
  <c r="AC532" i="28"/>
  <c r="AD532" i="28" s="1"/>
  <c r="AE532" i="28" s="1" a="1"/>
  <c r="AE532" i="28" s="1"/>
  <c r="A532" i="28"/>
  <c r="B533" i="28"/>
  <c r="AC533" i="28" l="1"/>
  <c r="AD533" i="28" s="1"/>
  <c r="A533" i="28"/>
  <c r="B534" i="28"/>
  <c r="E230" i="28"/>
  <c r="D231" i="28"/>
  <c r="E231" i="28" l="1"/>
  <c r="D232" i="28"/>
  <c r="AC534" i="28"/>
  <c r="B535" i="28"/>
  <c r="A534" i="28"/>
  <c r="C534" i="28" s="1"/>
  <c r="E534" i="28"/>
  <c r="AD534" i="28"/>
  <c r="AE533" i="28" a="1"/>
  <c r="AE533" i="28" s="1"/>
  <c r="AE534" i="28" l="1" a="1"/>
  <c r="AE534" i="28" s="1"/>
  <c r="AC535" i="28"/>
  <c r="AD535" i="28" s="1"/>
  <c r="B536" i="28"/>
  <c r="A535" i="28"/>
  <c r="C535" i="28" s="1"/>
  <c r="E535" i="28"/>
  <c r="E232" i="28"/>
  <c r="D235" i="28"/>
  <c r="AE535" i="28" l="1" a="1"/>
  <c r="AE535" i="28" s="1"/>
  <c r="E235" i="28"/>
  <c r="D236" i="28"/>
  <c r="AC536" i="28"/>
  <c r="AD536" i="28" s="1"/>
  <c r="B537" i="28"/>
  <c r="A536" i="28"/>
  <c r="AE536" i="28" l="1" a="1"/>
  <c r="AE536" i="28" s="1"/>
  <c r="AC537" i="28"/>
  <c r="AD537" i="28" s="1"/>
  <c r="B538" i="28"/>
  <c r="A537" i="28"/>
  <c r="E236" i="28"/>
  <c r="D237" i="28"/>
  <c r="AD538" i="28" l="1"/>
  <c r="AE537" i="28" a="1"/>
  <c r="AE537" i="28" s="1"/>
  <c r="E237" i="28"/>
  <c r="D238" i="28"/>
  <c r="AC538" i="28"/>
  <c r="A538" i="28"/>
  <c r="B539" i="28"/>
  <c r="AE538" i="28" l="1" a="1"/>
  <c r="AE538" i="28" s="1"/>
  <c r="E238" i="28"/>
  <c r="D239" i="28"/>
  <c r="AC539" i="28"/>
  <c r="AD539" i="28" s="1"/>
  <c r="B540" i="28"/>
  <c r="A539" i="28"/>
  <c r="AE539" i="28" l="1" a="1"/>
  <c r="AE539" i="28" s="1"/>
  <c r="AC540" i="28"/>
  <c r="AD540" i="28" s="1"/>
  <c r="B541" i="28"/>
  <c r="A540" i="28"/>
  <c r="E239" i="28"/>
  <c r="D242" i="28"/>
  <c r="AE540" i="28" l="1" a="1"/>
  <c r="AE540" i="28" s="1"/>
  <c r="E242" i="28"/>
  <c r="D243" i="28"/>
  <c r="AC541" i="28"/>
  <c r="AD541" i="28" s="1"/>
  <c r="B542" i="28"/>
  <c r="A541" i="28"/>
  <c r="C541" i="28" s="1"/>
  <c r="E541" i="28"/>
  <c r="AE541" i="28" l="1" a="1"/>
  <c r="AE541" i="28" s="1"/>
  <c r="AC542" i="28"/>
  <c r="AD542" i="28" s="1"/>
  <c r="A542" i="28"/>
  <c r="C542" i="28" s="1"/>
  <c r="B543" i="28"/>
  <c r="E542" i="28"/>
  <c r="E243" i="28"/>
  <c r="D244" i="28"/>
  <c r="AE542" i="28" l="1" a="1"/>
  <c r="AE542" i="28" s="1"/>
  <c r="E244" i="28"/>
  <c r="D245" i="28"/>
  <c r="AC543" i="28"/>
  <c r="AD543" i="28" s="1"/>
  <c r="A543" i="28"/>
  <c r="B544" i="28"/>
  <c r="AE543" i="28" l="1" a="1"/>
  <c r="AE543" i="28" s="1"/>
  <c r="AC544" i="28"/>
  <c r="AD544" i="28" s="1"/>
  <c r="A544" i="28"/>
  <c r="B545" i="28"/>
  <c r="E245" i="28"/>
  <c r="D246" i="28"/>
  <c r="AE544" i="28" l="1" a="1"/>
  <c r="AE544" i="28" s="1"/>
  <c r="E246" i="28"/>
  <c r="D249" i="28"/>
  <c r="AC545" i="28"/>
  <c r="AD545" i="28" s="1"/>
  <c r="A545" i="28"/>
  <c r="B546" i="28"/>
  <c r="AE545" i="28" l="1" a="1"/>
  <c r="AE545" i="28" s="1"/>
  <c r="AC546" i="28"/>
  <c r="AD546" i="28" s="1"/>
  <c r="A546" i="28"/>
  <c r="B547" i="28"/>
  <c r="E249" i="28"/>
  <c r="D250" i="28"/>
  <c r="AE546" i="28" l="1" a="1"/>
  <c r="AE546" i="28" s="1"/>
  <c r="E250" i="28"/>
  <c r="D251" i="28"/>
  <c r="AC547" i="28"/>
  <c r="AD547" i="28" s="1"/>
  <c r="B548" i="28"/>
  <c r="A547" i="28"/>
  <c r="AE547" i="28" l="1" a="1"/>
  <c r="AE547" i="28" s="1"/>
  <c r="AC548" i="28"/>
  <c r="AD548" i="28" s="1"/>
  <c r="B549" i="28"/>
  <c r="A548" i="28"/>
  <c r="C548" i="28" s="1"/>
  <c r="E548" i="28"/>
  <c r="E251" i="28"/>
  <c r="D252" i="28"/>
  <c r="AE548" i="28" l="1" a="1"/>
  <c r="AE548" i="28" s="1"/>
  <c r="E252" i="28"/>
  <c r="D253" i="28"/>
  <c r="AC549" i="28"/>
  <c r="AD549" i="28" s="1"/>
  <c r="A549" i="28"/>
  <c r="C549" i="28" s="1"/>
  <c r="E549" i="28"/>
  <c r="B550" i="28"/>
  <c r="AE549" i="28" l="1" a="1"/>
  <c r="AE549" i="28" s="1"/>
  <c r="AC550" i="28"/>
  <c r="AD550" i="28" s="1"/>
  <c r="B551" i="28"/>
  <c r="A550" i="28"/>
  <c r="E253" i="28"/>
  <c r="D256" i="28"/>
  <c r="AE550" i="28" l="1" a="1"/>
  <c r="AE550" i="28" s="1"/>
  <c r="E256" i="28"/>
  <c r="D257" i="28"/>
  <c r="AC551" i="28"/>
  <c r="AD551" i="28" s="1"/>
  <c r="B552" i="28"/>
  <c r="A551" i="28"/>
  <c r="AE551" i="28" l="1" a="1"/>
  <c r="AE551" i="28" s="1"/>
  <c r="AC552" i="28"/>
  <c r="B553" i="28"/>
  <c r="A552" i="28"/>
  <c r="E257" i="28"/>
  <c r="D258" i="28"/>
  <c r="E258" i="28" l="1"/>
  <c r="D259" i="28"/>
  <c r="AC553" i="28"/>
  <c r="B554" i="28"/>
  <c r="A553" i="28"/>
  <c r="C370" i="28"/>
  <c r="C371" i="28"/>
  <c r="C372" i="28"/>
  <c r="C375" i="28"/>
  <c r="C376" i="28"/>
  <c r="C377" i="28"/>
  <c r="C378" i="28"/>
  <c r="C379" i="28"/>
  <c r="C382" i="28"/>
  <c r="C383" i="28"/>
  <c r="C384" i="28"/>
  <c r="C385" i="28"/>
  <c r="C386" i="28"/>
  <c r="C389" i="28"/>
  <c r="C390" i="28"/>
  <c r="C391" i="28"/>
  <c r="C392" i="28"/>
  <c r="C393" i="28"/>
  <c r="C396" i="28"/>
  <c r="C397" i="28"/>
  <c r="C398" i="28"/>
  <c r="C399" i="28"/>
  <c r="C400" i="28"/>
  <c r="C403" i="28"/>
  <c r="C404" i="28"/>
  <c r="C405" i="28"/>
  <c r="C406" i="28"/>
  <c r="C407" i="28"/>
  <c r="C410" i="28"/>
  <c r="C411" i="28"/>
  <c r="C412" i="28"/>
  <c r="C413" i="28"/>
  <c r="C414" i="28"/>
  <c r="C417" i="28"/>
  <c r="C418" i="28"/>
  <c r="C419" i="28"/>
  <c r="C420" i="28"/>
  <c r="C421" i="28"/>
  <c r="C424" i="28"/>
  <c r="C425" i="28"/>
  <c r="C426" i="28"/>
  <c r="C427" i="28"/>
  <c r="C428" i="28"/>
  <c r="C431" i="28"/>
  <c r="C432" i="28"/>
  <c r="C433" i="28"/>
  <c r="C434" i="28"/>
  <c r="C435" i="28"/>
  <c r="C438" i="28"/>
  <c r="C439" i="28"/>
  <c r="C440" i="28"/>
  <c r="C441" i="28"/>
  <c r="C442" i="28"/>
  <c r="C445" i="28"/>
  <c r="C446" i="28"/>
  <c r="C447" i="28"/>
  <c r="C448" i="28"/>
  <c r="C449" i="28"/>
  <c r="C452" i="28"/>
  <c r="C453" i="28"/>
  <c r="C454" i="28"/>
  <c r="C455" i="28"/>
  <c r="C456" i="28"/>
  <c r="C459" i="28"/>
  <c r="C460" i="28"/>
  <c r="C461" i="28"/>
  <c r="C462" i="28"/>
  <c r="C463" i="28"/>
  <c r="C466" i="28"/>
  <c r="C467" i="28"/>
  <c r="C468" i="28"/>
  <c r="C469" i="28"/>
  <c r="C470" i="28"/>
  <c r="C473" i="28"/>
  <c r="C474" i="28"/>
  <c r="C475" i="28"/>
  <c r="C476" i="28"/>
  <c r="C477" i="28"/>
  <c r="C480" i="28"/>
  <c r="C481" i="28"/>
  <c r="C482" i="28"/>
  <c r="C483" i="28"/>
  <c r="C484" i="28"/>
  <c r="C487" i="28"/>
  <c r="C488" i="28"/>
  <c r="C489" i="28"/>
  <c r="C490" i="28"/>
  <c r="C491" i="28"/>
  <c r="C494" i="28"/>
  <c r="C495" i="28"/>
  <c r="C496" i="28"/>
  <c r="C497" i="28"/>
  <c r="C498" i="28"/>
  <c r="C501" i="28"/>
  <c r="C502" i="28"/>
  <c r="C503" i="28"/>
  <c r="C504" i="28"/>
  <c r="C505" i="28"/>
  <c r="C508" i="28"/>
  <c r="C509" i="28"/>
  <c r="C510" i="28"/>
  <c r="C511" i="28"/>
  <c r="C512" i="28"/>
  <c r="C515" i="28"/>
  <c r="C516" i="28"/>
  <c r="C517" i="28"/>
  <c r="C518" i="28"/>
  <c r="C519" i="28"/>
  <c r="C522" i="28"/>
  <c r="C523" i="28"/>
  <c r="C524" i="28"/>
  <c r="C525" i="28"/>
  <c r="C526" i="28"/>
  <c r="C529" i="28"/>
  <c r="C530" i="28"/>
  <c r="C531" i="28"/>
  <c r="C532" i="28"/>
  <c r="C533" i="28"/>
  <c r="C536" i="28"/>
  <c r="C537" i="28"/>
  <c r="C538" i="28"/>
  <c r="C539" i="28"/>
  <c r="C540" i="28"/>
  <c r="C543" i="28"/>
  <c r="C544" i="28"/>
  <c r="C545" i="28"/>
  <c r="C546" i="28"/>
  <c r="C547" i="28"/>
  <c r="C550" i="28"/>
  <c r="C551" i="28"/>
  <c r="AD552" i="28"/>
  <c r="AD553" i="28" l="1"/>
  <c r="AE552" i="28" a="1"/>
  <c r="AE552" i="28" s="1"/>
  <c r="C552" i="28" s="1"/>
  <c r="AC554" i="28"/>
  <c r="A554" i="28"/>
  <c r="B555" i="28"/>
  <c r="E259" i="28"/>
  <c r="D260" i="28"/>
  <c r="AC555" i="28" l="1"/>
  <c r="A555" i="28"/>
  <c r="C555" i="28" s="1"/>
  <c r="E555" i="28"/>
  <c r="B556" i="28"/>
  <c r="E260" i="28"/>
  <c r="D263" i="28"/>
  <c r="AD554" i="28"/>
  <c r="AE553" i="28" a="1"/>
  <c r="AE553" i="28" s="1"/>
  <c r="AD555" i="28" l="1"/>
  <c r="AE554" i="28" a="1"/>
  <c r="AE554" i="28" s="1"/>
  <c r="E263" i="28"/>
  <c r="D264" i="28"/>
  <c r="AC556" i="28"/>
  <c r="A556" i="28"/>
  <c r="C556" i="28" s="1"/>
  <c r="B557" i="28"/>
  <c r="E556" i="28"/>
  <c r="AC557" i="28" l="1"/>
  <c r="A557" i="28"/>
  <c r="B558" i="28"/>
  <c r="E264" i="28"/>
  <c r="D265" i="28"/>
  <c r="AD556" i="28"/>
  <c r="AE555" i="28" a="1"/>
  <c r="AE555" i="28" s="1"/>
  <c r="AD557" i="28" l="1"/>
  <c r="AE556" i="28" a="1"/>
  <c r="AE556" i="28" s="1"/>
  <c r="E265" i="28"/>
  <c r="D266" i="28"/>
  <c r="AC558" i="28"/>
  <c r="B559" i="28"/>
  <c r="A558" i="28"/>
  <c r="AC559" i="28" l="1"/>
  <c r="A559" i="28"/>
  <c r="B560" i="28"/>
  <c r="E266" i="28"/>
  <c r="D267" i="28"/>
  <c r="AD558" i="28"/>
  <c r="AE557" i="28" a="1"/>
  <c r="AE557" i="28" s="1"/>
  <c r="AD559" i="28" l="1"/>
  <c r="AE558" i="28" a="1"/>
  <c r="AE558" i="28" s="1"/>
  <c r="E267" i="28"/>
  <c r="D270" i="28"/>
  <c r="AC560" i="28"/>
  <c r="A560" i="28"/>
  <c r="B561" i="28"/>
  <c r="AC561" i="28" l="1"/>
  <c r="A561" i="28"/>
  <c r="B562" i="28"/>
  <c r="E270" i="28"/>
  <c r="D271" i="28"/>
  <c r="AD560" i="28"/>
  <c r="AE559" i="28" a="1"/>
  <c r="AE559" i="28" s="1"/>
  <c r="AD561" i="28" l="1"/>
  <c r="AE560" i="28" a="1"/>
  <c r="AE560" i="28" s="1"/>
  <c r="E271" i="28"/>
  <c r="D272" i="28"/>
  <c r="AC562" i="28"/>
  <c r="E562" i="28"/>
  <c r="B563" i="28"/>
  <c r="A562" i="28"/>
  <c r="C562" i="28" s="1"/>
  <c r="AC563" i="28" l="1"/>
  <c r="E563" i="28"/>
  <c r="A563" i="28"/>
  <c r="C563" i="28" s="1"/>
  <c r="B564" i="28"/>
  <c r="E272" i="28"/>
  <c r="D273" i="28"/>
  <c r="AD562" i="28"/>
  <c r="AE561" i="28" a="1"/>
  <c r="AE561" i="28" s="1"/>
  <c r="AD563" i="28" l="1"/>
  <c r="AE562" i="28" a="1"/>
  <c r="AE562" i="28" s="1"/>
  <c r="E273" i="28"/>
  <c r="D274" i="28"/>
  <c r="AC564" i="28"/>
  <c r="B565" i="28"/>
  <c r="A564" i="28"/>
  <c r="AC565" i="28" l="1"/>
  <c r="B566" i="28"/>
  <c r="A565" i="28"/>
  <c r="E274" i="28"/>
  <c r="D277" i="28"/>
  <c r="AD564" i="28"/>
  <c r="AE563" i="28" a="1"/>
  <c r="AE563" i="28" s="1"/>
  <c r="AD565" i="28" l="1"/>
  <c r="AE564" i="28" a="1"/>
  <c r="AE564" i="28" s="1"/>
  <c r="E277" i="28"/>
  <c r="D278" i="28"/>
  <c r="AC566" i="28"/>
  <c r="B567" i="28"/>
  <c r="A566" i="28"/>
  <c r="AC567" i="28" l="1"/>
  <c r="B568" i="28"/>
  <c r="A567" i="28"/>
  <c r="E278" i="28"/>
  <c r="D279" i="28"/>
  <c r="AD566" i="28"/>
  <c r="AE565" i="28" a="1"/>
  <c r="AE565" i="28" s="1"/>
  <c r="AD567" i="28" l="1"/>
  <c r="AE566" i="28" a="1"/>
  <c r="AE566" i="28" s="1"/>
  <c r="E279" i="28"/>
  <c r="D280" i="28"/>
  <c r="AC568" i="28"/>
  <c r="B569" i="28"/>
  <c r="A568" i="28"/>
  <c r="AC569" i="28" l="1"/>
  <c r="A569" i="28"/>
  <c r="C569" i="28" s="1"/>
  <c r="B570" i="28"/>
  <c r="E569" i="28"/>
  <c r="E280" i="28"/>
  <c r="D281" i="28"/>
  <c r="AD568" i="28"/>
  <c r="AE567" i="28" a="1"/>
  <c r="AE567" i="28" s="1"/>
  <c r="AD569" i="28" l="1"/>
  <c r="AE568" i="28" a="1"/>
  <c r="AE568" i="28" s="1"/>
  <c r="E281" i="28"/>
  <c r="D284" i="28"/>
  <c r="AC570" i="28"/>
  <c r="A570" i="28"/>
  <c r="C570" i="28" s="1"/>
  <c r="E570" i="28"/>
  <c r="B571" i="28"/>
  <c r="AC571" i="28" l="1"/>
  <c r="A571" i="28"/>
  <c r="B572" i="28"/>
  <c r="E284" i="28"/>
  <c r="D285" i="28"/>
  <c r="AD570" i="28"/>
  <c r="AE569" i="28" a="1"/>
  <c r="AE569" i="28" s="1"/>
  <c r="AD571" i="28" l="1"/>
  <c r="AE570" i="28" a="1"/>
  <c r="AE570" i="28" s="1"/>
  <c r="D286" i="28"/>
  <c r="E285" i="28"/>
  <c r="AC572" i="28"/>
  <c r="A572" i="28"/>
  <c r="B573" i="28"/>
  <c r="AC573" i="28" l="1"/>
  <c r="AD573" i="28" s="1"/>
  <c r="AE573" i="28" s="1" a="1"/>
  <c r="AE573" i="28" s="1"/>
  <c r="B574" i="28"/>
  <c r="A573" i="28"/>
  <c r="E286" i="28"/>
  <c r="D287" i="28"/>
  <c r="AD572" i="28"/>
  <c r="AE572" i="28" s="1" a="1"/>
  <c r="AE572" i="28" s="1"/>
  <c r="AE571" i="28" a="1"/>
  <c r="AE571" i="28" s="1"/>
  <c r="E287" i="28" l="1"/>
  <c r="D288" i="28"/>
  <c r="AC574" i="28"/>
  <c r="AD574" i="28" s="1"/>
  <c r="A574" i="28"/>
  <c r="B575" i="28"/>
  <c r="AC575" i="28" l="1"/>
  <c r="B576" i="28"/>
  <c r="A575" i="28"/>
  <c r="AD575" i="28"/>
  <c r="AE574" i="28" a="1"/>
  <c r="AE574" i="28" s="1"/>
  <c r="E288" i="28"/>
  <c r="D291" i="28"/>
  <c r="E291" i="28" l="1"/>
  <c r="D292" i="28"/>
  <c r="AE575" i="28" a="1"/>
  <c r="AE575" i="28" s="1"/>
  <c r="AC576" i="28"/>
  <c r="AD576" i="28" s="1"/>
  <c r="E576" i="28"/>
  <c r="B577" i="28"/>
  <c r="A576" i="28"/>
  <c r="C576" i="28" s="1"/>
  <c r="AE576" i="28" l="1" a="1"/>
  <c r="AE576" i="28" s="1"/>
  <c r="AC577" i="28"/>
  <c r="AD577" i="28" s="1"/>
  <c r="AE577" i="28" s="1" a="1"/>
  <c r="AE577" i="28" s="1"/>
  <c r="B578" i="28"/>
  <c r="E577" i="28"/>
  <c r="A577" i="28"/>
  <c r="C577" i="28" s="1"/>
  <c r="E292" i="28"/>
  <c r="D293" i="28"/>
  <c r="E293" i="28" l="1"/>
  <c r="D294" i="28"/>
  <c r="AC578" i="28"/>
  <c r="AD578" i="28" s="1"/>
  <c r="B579" i="28"/>
  <c r="A578" i="28"/>
  <c r="AC579" i="28" l="1"/>
  <c r="B580" i="28"/>
  <c r="A579" i="28"/>
  <c r="AD579" i="28"/>
  <c r="AE578" i="28" a="1"/>
  <c r="AE578" i="28" s="1"/>
  <c r="E294" i="28"/>
  <c r="D295" i="28"/>
  <c r="E295" i="28" l="1"/>
  <c r="D298" i="28"/>
  <c r="AE579" i="28" a="1"/>
  <c r="AE579" i="28" s="1"/>
  <c r="AC580" i="28"/>
  <c r="AD580" i="28" s="1"/>
  <c r="B581" i="28"/>
  <c r="A580" i="28"/>
  <c r="AE580" i="28" l="1" a="1"/>
  <c r="AE580" i="28" s="1"/>
  <c r="AC581" i="28"/>
  <c r="AD581" i="28" s="1"/>
  <c r="B582" i="28"/>
  <c r="A581" i="28"/>
  <c r="E298" i="28"/>
  <c r="D299" i="28"/>
  <c r="AE581" i="28" l="1" a="1"/>
  <c r="AE581" i="28" s="1"/>
  <c r="E299" i="28"/>
  <c r="D300" i="28"/>
  <c r="AC582" i="28"/>
  <c r="AD582" i="28" s="1"/>
  <c r="A582" i="28"/>
  <c r="B583" i="28"/>
  <c r="AE582" i="28" l="1" a="1"/>
  <c r="AE582" i="28" s="1"/>
  <c r="AC583" i="28"/>
  <c r="AD583" i="28" s="1"/>
  <c r="B584" i="28"/>
  <c r="A583" i="28"/>
  <c r="C583" i="28" s="1"/>
  <c r="E583" i="28"/>
  <c r="E300" i="28"/>
  <c r="D301" i="28"/>
  <c r="AE583" i="28" l="1" a="1"/>
  <c r="AE583" i="28" s="1"/>
  <c r="E301" i="28"/>
  <c r="D302" i="28"/>
  <c r="AC584" i="28"/>
  <c r="AD584" i="28" s="1"/>
  <c r="B585" i="28"/>
  <c r="E584" i="28"/>
  <c r="A584" i="28"/>
  <c r="C584" i="28" s="1"/>
  <c r="AE584" i="28" l="1" a="1"/>
  <c r="AE584" i="28" s="1"/>
  <c r="AC585" i="28"/>
  <c r="AD585" i="28" s="1"/>
  <c r="B586" i="28"/>
  <c r="A585" i="28"/>
  <c r="E302" i="28"/>
  <c r="D305" i="28"/>
  <c r="AE585" i="28" l="1" a="1"/>
  <c r="AE585" i="28" s="1"/>
  <c r="E305" i="28"/>
  <c r="D306" i="28"/>
  <c r="AC586" i="28"/>
  <c r="AD586" i="28" s="1"/>
  <c r="A586" i="28"/>
  <c r="B587" i="28"/>
  <c r="AE586" i="28" l="1" a="1"/>
  <c r="AE586" i="28" s="1"/>
  <c r="AC587" i="28"/>
  <c r="AD587" i="28" s="1"/>
  <c r="A587" i="28"/>
  <c r="B588" i="28"/>
  <c r="E306" i="28"/>
  <c r="D307" i="28"/>
  <c r="AE587" i="28" l="1" a="1"/>
  <c r="AE587" i="28" s="1"/>
  <c r="E307" i="28"/>
  <c r="D308" i="28"/>
  <c r="AC588" i="28"/>
  <c r="AD588" i="28" s="1"/>
  <c r="B589" i="28"/>
  <c r="A588" i="28"/>
  <c r="AE588" i="28" l="1" a="1"/>
  <c r="AE588" i="28" s="1"/>
  <c r="AC589" i="28"/>
  <c r="AD589" i="28" s="1"/>
  <c r="A589" i="28"/>
  <c r="B590" i="28"/>
  <c r="E308" i="28"/>
  <c r="D309" i="28"/>
  <c r="AE589" i="28" l="1" a="1"/>
  <c r="AE589" i="28" s="1"/>
  <c r="E309" i="28"/>
  <c r="D312" i="28"/>
  <c r="AC590" i="28"/>
  <c r="AD590" i="28" s="1"/>
  <c r="A590" i="28"/>
  <c r="C590" i="28" s="1"/>
  <c r="E590" i="28"/>
  <c r="B591" i="28"/>
  <c r="AE590" i="28" l="1" a="1"/>
  <c r="AE590" i="28" s="1"/>
  <c r="AC591" i="28"/>
  <c r="AD591" i="28" s="1"/>
  <c r="B592" i="28"/>
  <c r="A591" i="28"/>
  <c r="C591" i="28" s="1"/>
  <c r="E591" i="28"/>
  <c r="E312" i="28"/>
  <c r="D313" i="28"/>
  <c r="AE591" i="28" l="1" a="1"/>
  <c r="AE591" i="28" s="1"/>
  <c r="E313" i="28"/>
  <c r="D314" i="28"/>
  <c r="AC592" i="28"/>
  <c r="AD592" i="28" s="1"/>
  <c r="A592" i="28"/>
  <c r="B593" i="28"/>
  <c r="AE592" i="28" l="1" a="1"/>
  <c r="AE592" i="28" s="1"/>
  <c r="AC593" i="28"/>
  <c r="AD593" i="28" s="1"/>
  <c r="A593" i="28"/>
  <c r="B594" i="28"/>
  <c r="E314" i="28"/>
  <c r="D315" i="28"/>
  <c r="AE593" i="28" l="1" a="1"/>
  <c r="AE593" i="28" s="1"/>
  <c r="E315" i="28"/>
  <c r="D316" i="28"/>
  <c r="AC594" i="28"/>
  <c r="AD594" i="28" s="1"/>
  <c r="B595" i="28"/>
  <c r="A594" i="28"/>
  <c r="AE594" i="28" l="1" a="1"/>
  <c r="AE594" i="28" s="1"/>
  <c r="AC595" i="28"/>
  <c r="AD595" i="28" s="1"/>
  <c r="B596" i="28"/>
  <c r="A595" i="28"/>
  <c r="E316" i="28"/>
  <c r="D319" i="28"/>
  <c r="AE595" i="28" l="1" a="1"/>
  <c r="AE595" i="28" s="1"/>
  <c r="E319" i="28"/>
  <c r="D320" i="28"/>
  <c r="AC596" i="28"/>
  <c r="AD596" i="28" s="1"/>
  <c r="B597" i="28"/>
  <c r="A596" i="28"/>
  <c r="AE596" i="28" l="1" a="1"/>
  <c r="AE596" i="28" s="1"/>
  <c r="AC597" i="28"/>
  <c r="AD597" i="28" s="1"/>
  <c r="E597" i="28"/>
  <c r="A597" i="28"/>
  <c r="C597" i="28" s="1"/>
  <c r="B598" i="28"/>
  <c r="E320" i="28"/>
  <c r="D321" i="28"/>
  <c r="AE597" i="28" l="1" a="1"/>
  <c r="AE597" i="28" s="1"/>
  <c r="E321" i="28"/>
  <c r="D322" i="28"/>
  <c r="AC598" i="28"/>
  <c r="AD598" i="28" s="1"/>
  <c r="A598" i="28"/>
  <c r="C598" i="28" s="1"/>
  <c r="B599" i="28"/>
  <c r="E598" i="28"/>
  <c r="AE598" i="28" l="1" a="1"/>
  <c r="AE598" i="28" s="1"/>
  <c r="AC599" i="28"/>
  <c r="AD599" i="28" s="1"/>
  <c r="A599" i="28"/>
  <c r="B600" i="28"/>
  <c r="E322" i="28"/>
  <c r="D323" i="28"/>
  <c r="AE599" i="28" l="1" a="1"/>
  <c r="AE599" i="28" s="1"/>
  <c r="E323" i="28"/>
  <c r="D326" i="28"/>
  <c r="AC600" i="28"/>
  <c r="AD600" i="28" s="1"/>
  <c r="A600" i="28"/>
  <c r="B601" i="28"/>
  <c r="AE600" i="28" l="1" a="1"/>
  <c r="AE600" i="28" s="1"/>
  <c r="AC601" i="28"/>
  <c r="AD601" i="28" s="1"/>
  <c r="B602" i="28"/>
  <c r="A601" i="28"/>
  <c r="E326" i="28"/>
  <c r="D327" i="28"/>
  <c r="AE601" i="28" l="1" a="1"/>
  <c r="AE601" i="28" s="1"/>
  <c r="E327" i="28"/>
  <c r="D328" i="28"/>
  <c r="AC602" i="28"/>
  <c r="AD602" i="28" s="1"/>
  <c r="A602" i="28"/>
  <c r="B603" i="28"/>
  <c r="AE602" i="28" l="1" a="1"/>
  <c r="AE602" i="28" s="1"/>
  <c r="AC603" i="28"/>
  <c r="AD603" i="28" s="1"/>
  <c r="B604" i="28"/>
  <c r="A603" i="28"/>
  <c r="E328" i="28"/>
  <c r="D329" i="28"/>
  <c r="AE603" i="28" l="1" a="1"/>
  <c r="AE603" i="28" s="1"/>
  <c r="E329" i="28"/>
  <c r="D330" i="28"/>
  <c r="AC604" i="28"/>
  <c r="AD604" i="28" s="1"/>
  <c r="B605" i="28"/>
  <c r="A604" i="28"/>
  <c r="C604" i="28" s="1"/>
  <c r="E604" i="28"/>
  <c r="AE604" i="28" l="1" a="1"/>
  <c r="AE604" i="28" s="1"/>
  <c r="AC605" i="28"/>
  <c r="AD605" i="28" s="1"/>
  <c r="B606" i="28"/>
  <c r="A605" i="28"/>
  <c r="C605" i="28" s="1"/>
  <c r="E605" i="28"/>
  <c r="E330" i="28"/>
  <c r="D333" i="28"/>
  <c r="AE605" i="28" l="1" a="1"/>
  <c r="AE605" i="28" s="1"/>
  <c r="E333" i="28"/>
  <c r="D334" i="28"/>
  <c r="AC606" i="28"/>
  <c r="AD606" i="28" s="1"/>
  <c r="B607" i="28"/>
  <c r="A606" i="28"/>
  <c r="AE606" i="28" l="1" a="1"/>
  <c r="AE606" i="28" s="1"/>
  <c r="AC607" i="28"/>
  <c r="AD607" i="28" s="1"/>
  <c r="B608" i="28"/>
  <c r="A607" i="28"/>
  <c r="E334" i="28"/>
  <c r="D335" i="28"/>
  <c r="AE607" i="28" l="1" a="1"/>
  <c r="AE607" i="28" s="1"/>
  <c r="E335" i="28"/>
  <c r="D336" i="28"/>
  <c r="AC608" i="28"/>
  <c r="AD608" i="28" s="1"/>
  <c r="B609" i="28"/>
  <c r="A608" i="28"/>
  <c r="AE608" i="28" l="1" a="1"/>
  <c r="AE608" i="28" s="1"/>
  <c r="AC609" i="28"/>
  <c r="AD609" i="28" s="1"/>
  <c r="B610" i="28"/>
  <c r="A609" i="28"/>
  <c r="E336" i="28"/>
  <c r="D337" i="28"/>
  <c r="AE609" i="28" l="1" a="1"/>
  <c r="AE609" i="28" s="1"/>
  <c r="E337" i="28"/>
  <c r="D340" i="28"/>
  <c r="AC610" i="28"/>
  <c r="AD610" i="28" s="1"/>
  <c r="B611" i="28"/>
  <c r="A610" i="28"/>
  <c r="AE610" i="28" l="1" a="1"/>
  <c r="AE610" i="28" s="1"/>
  <c r="AC611" i="28"/>
  <c r="AD611" i="28" s="1"/>
  <c r="B612" i="28"/>
  <c r="A611" i="28"/>
  <c r="C611" i="28" s="1"/>
  <c r="E611" i="28"/>
  <c r="E340" i="28"/>
  <c r="D341" i="28"/>
  <c r="AE611" i="28" l="1" a="1"/>
  <c r="AE611" i="28" s="1"/>
  <c r="E341" i="28"/>
  <c r="D342" i="28"/>
  <c r="AC612" i="28"/>
  <c r="AD612" i="28" s="1"/>
  <c r="A612" i="28"/>
  <c r="C612" i="28" s="1"/>
  <c r="E612" i="28"/>
  <c r="B613" i="28"/>
  <c r="AE612" i="28" l="1" a="1"/>
  <c r="AE612" i="28" s="1"/>
  <c r="AC613" i="28"/>
  <c r="AD613" i="28" s="1"/>
  <c r="B614" i="28"/>
  <c r="A613" i="28"/>
  <c r="E342" i="28"/>
  <c r="D343" i="28"/>
  <c r="AE613" i="28" l="1" a="1"/>
  <c r="AE613" i="28" s="1"/>
  <c r="E343" i="28"/>
  <c r="D344" i="28"/>
  <c r="AC614" i="28"/>
  <c r="AD614" i="28" s="1"/>
  <c r="AE614" i="28" s="1" a="1"/>
  <c r="AE614" i="28" s="1"/>
  <c r="B615" i="28"/>
  <c r="A614" i="28"/>
  <c r="AC615" i="28" l="1"/>
  <c r="AD615" i="28" s="1"/>
  <c r="AE615" i="28" s="1" a="1"/>
  <c r="AE615" i="28" s="1"/>
  <c r="B616" i="28"/>
  <c r="A615" i="28"/>
  <c r="E344" i="28"/>
  <c r="D347" i="28"/>
  <c r="E347" i="28" l="1"/>
  <c r="D348" i="28"/>
  <c r="AC616" i="28"/>
  <c r="AD616" i="28" s="1"/>
  <c r="B617" i="28"/>
  <c r="A616" i="28"/>
  <c r="AC617" i="28" l="1"/>
  <c r="A617" i="28"/>
  <c r="B618" i="28"/>
  <c r="AD617" i="28"/>
  <c r="AE616" i="28" a="1"/>
  <c r="AE616" i="28" s="1"/>
  <c r="E348" i="28"/>
  <c r="D349" i="28"/>
  <c r="E349" i="28" l="1"/>
  <c r="D350" i="28"/>
  <c r="AE617" i="28" a="1"/>
  <c r="AE617" i="28" s="1"/>
  <c r="AC618" i="28"/>
  <c r="AD618" i="28" s="1"/>
  <c r="A618" i="28"/>
  <c r="C618" i="28" s="1"/>
  <c r="B619" i="28"/>
  <c r="E618" i="28"/>
  <c r="AE618" i="28" l="1" a="1"/>
  <c r="AE618" i="28" s="1"/>
  <c r="AC619" i="28"/>
  <c r="AD619" i="28" s="1"/>
  <c r="E619" i="28"/>
  <c r="A619" i="28"/>
  <c r="C619" i="28" s="1"/>
  <c r="B620" i="28"/>
  <c r="E350" i="28"/>
  <c r="D351" i="28"/>
  <c r="AE619" i="28" l="1" a="1"/>
  <c r="AE619" i="28" s="1"/>
  <c r="E351" i="28"/>
  <c r="D354" i="28"/>
  <c r="AC620" i="28"/>
  <c r="AD620" i="28" s="1"/>
  <c r="B621" i="28"/>
  <c r="A620" i="28"/>
  <c r="AE620" i="28" l="1" a="1"/>
  <c r="AE620" i="28" s="1"/>
  <c r="AC621" i="28"/>
  <c r="AD621" i="28" s="1"/>
  <c r="B622" i="28"/>
  <c r="A621" i="28"/>
  <c r="E354" i="28"/>
  <c r="D355" i="28"/>
  <c r="AE621" i="28" l="1" a="1"/>
  <c r="AE621" i="28" s="1"/>
  <c r="E355" i="28"/>
  <c r="D356" i="28"/>
  <c r="AC622" i="28"/>
  <c r="AD622" i="28" s="1"/>
  <c r="B623" i="28"/>
  <c r="A622" i="28"/>
  <c r="AE622" i="28" l="1" a="1"/>
  <c r="AE622" i="28" s="1"/>
  <c r="AC623" i="28"/>
  <c r="AD623" i="28" s="1"/>
  <c r="B624" i="28"/>
  <c r="A623" i="28"/>
  <c r="E356" i="28"/>
  <c r="D357" i="28"/>
  <c r="AE623" i="28" l="1" a="1"/>
  <c r="AE623" i="28" s="1"/>
  <c r="E357" i="28"/>
  <c r="D358" i="28"/>
  <c r="AC624" i="28"/>
  <c r="AD624" i="28" s="1"/>
  <c r="B625" i="28"/>
  <c r="A624" i="28"/>
  <c r="AE624" i="28" l="1" a="1"/>
  <c r="AE624" i="28" s="1"/>
  <c r="AC625" i="28"/>
  <c r="AD625" i="28" s="1"/>
  <c r="B626" i="28"/>
  <c r="E625" i="28"/>
  <c r="A625" i="28"/>
  <c r="C625" i="28" s="1"/>
  <c r="E358" i="28"/>
  <c r="D361" i="28"/>
  <c r="AE625" i="28" l="1" a="1"/>
  <c r="AE625" i="28" s="1"/>
  <c r="E361" i="28"/>
  <c r="D362" i="28"/>
  <c r="AC626" i="28"/>
  <c r="AD626" i="28" s="1"/>
  <c r="E626" i="28"/>
  <c r="A626" i="28"/>
  <c r="C626" i="28" s="1"/>
  <c r="B627" i="28"/>
  <c r="AE626" i="28" l="1" a="1"/>
  <c r="AE626" i="28" s="1"/>
  <c r="AC627" i="28"/>
  <c r="AD627" i="28" s="1"/>
  <c r="A627" i="28"/>
  <c r="B628" i="28"/>
  <c r="E362" i="28"/>
  <c r="D363" i="28"/>
  <c r="AE627" i="28" l="1" a="1"/>
  <c r="AE627" i="28" s="1"/>
  <c r="E363" i="28"/>
  <c r="D364" i="28"/>
  <c r="AC628" i="28"/>
  <c r="AD628" i="28" s="1"/>
  <c r="B629" i="28"/>
  <c r="A628" i="28"/>
  <c r="AE628" i="28" l="1" a="1"/>
  <c r="AE628" i="28" s="1"/>
  <c r="AC629" i="28"/>
  <c r="AD629" i="28" s="1"/>
  <c r="A629" i="28"/>
  <c r="B630" i="28"/>
  <c r="E364" i="28"/>
  <c r="D365" i="28"/>
  <c r="AE629" i="28" l="1" a="1"/>
  <c r="AE629" i="28" s="1"/>
  <c r="E365" i="28"/>
  <c r="D368" i="28"/>
  <c r="AC630" i="28"/>
  <c r="AD630" i="28" s="1"/>
  <c r="A630" i="28"/>
  <c r="B631" i="28"/>
  <c r="AE630" i="28" l="1" a="1"/>
  <c r="AE630" i="28" s="1"/>
  <c r="AC631" i="28"/>
  <c r="AD631" i="28" s="1"/>
  <c r="A631" i="28"/>
  <c r="B632" i="28"/>
  <c r="E368" i="28"/>
  <c r="D369" i="28"/>
  <c r="AE631" i="28" l="1" a="1"/>
  <c r="AE631" i="28" s="1"/>
  <c r="E369" i="28"/>
  <c r="K8" i="28" s="1"/>
  <c r="D370" i="28"/>
  <c r="AC632" i="28"/>
  <c r="AD632" i="28" s="1"/>
  <c r="B633" i="28"/>
  <c r="E632" i="28"/>
  <c r="A632" i="28"/>
  <c r="C632" i="28" s="1"/>
  <c r="L8" i="28" l="1"/>
  <c r="C14" i="5"/>
  <c r="D14" i="5" s="1"/>
  <c r="AE632" i="28" a="1"/>
  <c r="AE632" i="28" s="1"/>
  <c r="AC633" i="28"/>
  <c r="AD633" i="28" s="1"/>
  <c r="E633" i="28"/>
  <c r="B634" i="28"/>
  <c r="A633" i="28"/>
  <c r="C633" i="28" s="1"/>
  <c r="E370" i="28"/>
  <c r="D371" i="28"/>
  <c r="C5" i="16" l="1"/>
  <c r="E5" i="16" s="1"/>
  <c r="D9" i="19"/>
  <c r="E9" i="19" s="1"/>
  <c r="G9" i="19" s="1"/>
  <c r="C8" i="5"/>
  <c r="C7" i="12"/>
  <c r="D7" i="12" s="1"/>
  <c r="H7" i="12" s="1"/>
  <c r="AE633" i="28" a="1"/>
  <c r="AE633" i="28" s="1"/>
  <c r="E371" i="28"/>
  <c r="D372" i="28"/>
  <c r="AC634" i="28"/>
  <c r="AD634" i="28" s="1"/>
  <c r="B635" i="28"/>
  <c r="A634" i="28"/>
  <c r="F5" i="16" l="1"/>
  <c r="T5" i="16"/>
  <c r="C23" i="5"/>
  <c r="D23" i="5" s="1"/>
  <c r="E28" i="5" s="1"/>
  <c r="D8" i="5"/>
  <c r="C4" i="15"/>
  <c r="C35" i="5"/>
  <c r="C28" i="5"/>
  <c r="D28" i="5" s="1"/>
  <c r="F28" i="5" s="1"/>
  <c r="AE634" i="28" a="1"/>
  <c r="AE634" i="28" s="1"/>
  <c r="AC635" i="28"/>
  <c r="AD635" i="28" s="1"/>
  <c r="B636" i="28"/>
  <c r="A635" i="28"/>
  <c r="E372" i="28"/>
  <c r="D375" i="28"/>
  <c r="P5" i="16" l="1"/>
  <c r="Q5" i="16"/>
  <c r="R5" i="16"/>
  <c r="S5" i="16"/>
  <c r="O5" i="16"/>
  <c r="F35" i="5"/>
  <c r="H35" i="5" s="1"/>
  <c r="D35" i="5"/>
  <c r="C11" i="15"/>
  <c r="F13" i="15" s="1"/>
  <c r="I15" i="15"/>
  <c r="AE635" i="28" a="1"/>
  <c r="AE635" i="28" s="1"/>
  <c r="E375" i="28"/>
  <c r="D376" i="28"/>
  <c r="AC636" i="28"/>
  <c r="AD636" i="28" s="1"/>
  <c r="A636" i="28"/>
  <c r="B637" i="28"/>
  <c r="J15" i="15" l="1"/>
  <c r="K15" i="15"/>
  <c r="AE636" i="28" a="1"/>
  <c r="AE636" i="28" s="1"/>
  <c r="AC637" i="28"/>
  <c r="AD637" i="28" s="1"/>
  <c r="B638" i="28"/>
  <c r="A637" i="28"/>
  <c r="E376" i="28"/>
  <c r="D377" i="28"/>
  <c r="AE637" i="28" l="1" a="1"/>
  <c r="AE637" i="28" s="1"/>
  <c r="E377" i="28"/>
  <c r="D378" i="28"/>
  <c r="AC638" i="28"/>
  <c r="AD638" i="28" s="1"/>
  <c r="A638" i="28"/>
  <c r="B639" i="28"/>
  <c r="AE638" i="28" l="1" a="1"/>
  <c r="AE638" i="28" s="1"/>
  <c r="AC639" i="28"/>
  <c r="AD639" i="28" s="1"/>
  <c r="E639" i="28"/>
  <c r="A639" i="28"/>
  <c r="C639" i="28" s="1"/>
  <c r="B640" i="28"/>
  <c r="E378" i="28"/>
  <c r="D379" i="28"/>
  <c r="AE639" i="28" l="1" a="1"/>
  <c r="AE639" i="28" s="1"/>
  <c r="E379" i="28"/>
  <c r="D382" i="28"/>
  <c r="AC640" i="28"/>
  <c r="AD640" i="28" s="1"/>
  <c r="E640" i="28"/>
  <c r="B641" i="28"/>
  <c r="A640" i="28"/>
  <c r="C640" i="28" s="1"/>
  <c r="AE640" i="28" l="1" a="1"/>
  <c r="AE640" i="28" s="1"/>
  <c r="AC641" i="28"/>
  <c r="AD641" i="28" s="1"/>
  <c r="B642" i="28"/>
  <c r="A641" i="28"/>
  <c r="E382" i="28"/>
  <c r="D383" i="28"/>
  <c r="AE641" i="28" l="1" a="1"/>
  <c r="AE641" i="28" s="1"/>
  <c r="E383" i="28"/>
  <c r="D384" i="28"/>
  <c r="AC642" i="28"/>
  <c r="AD642" i="28" s="1"/>
  <c r="A642" i="28"/>
  <c r="B643" i="28"/>
  <c r="AE642" i="28" l="1" a="1"/>
  <c r="AE642" i="28" s="1"/>
  <c r="AC643" i="28"/>
  <c r="A643" i="28"/>
  <c r="B644" i="28"/>
  <c r="C642" i="28"/>
  <c r="E384" i="28"/>
  <c r="D385" i="28"/>
  <c r="E385" i="28" l="1"/>
  <c r="D386" i="28"/>
  <c r="AC644" i="28"/>
  <c r="A644" i="28"/>
  <c r="B645" i="28"/>
  <c r="C553" i="28"/>
  <c r="C554" i="28"/>
  <c r="C557" i="28"/>
  <c r="C558" i="28"/>
  <c r="C559" i="28"/>
  <c r="C560" i="28"/>
  <c r="C561" i="28"/>
  <c r="C564" i="28"/>
  <c r="C565" i="28"/>
  <c r="C566" i="28"/>
  <c r="C567" i="28"/>
  <c r="C568" i="28"/>
  <c r="C571" i="28"/>
  <c r="C572" i="28"/>
  <c r="C573" i="28"/>
  <c r="C574" i="28"/>
  <c r="C575" i="28"/>
  <c r="C578" i="28"/>
  <c r="C579" i="28"/>
  <c r="C580" i="28"/>
  <c r="C581" i="28"/>
  <c r="C582" i="28"/>
  <c r="C585" i="28"/>
  <c r="C586" i="28"/>
  <c r="C587" i="28"/>
  <c r="C588" i="28"/>
  <c r="C589" i="28"/>
  <c r="C592" i="28"/>
  <c r="C593" i="28"/>
  <c r="C594" i="28"/>
  <c r="C595" i="28"/>
  <c r="C596" i="28"/>
  <c r="C599" i="28"/>
  <c r="C600" i="28"/>
  <c r="C601" i="28"/>
  <c r="C602" i="28"/>
  <c r="C603" i="28"/>
  <c r="C606" i="28"/>
  <c r="C607" i="28"/>
  <c r="C608" i="28"/>
  <c r="C609" i="28"/>
  <c r="C610" i="28"/>
  <c r="C613" i="28"/>
  <c r="C614" i="28"/>
  <c r="C615" i="28"/>
  <c r="C616" i="28"/>
  <c r="C617" i="28"/>
  <c r="C620" i="28"/>
  <c r="C621" i="28"/>
  <c r="C622" i="28"/>
  <c r="C623" i="28"/>
  <c r="C624" i="28"/>
  <c r="C627" i="28"/>
  <c r="C628" i="28"/>
  <c r="C629" i="28"/>
  <c r="C630" i="28"/>
  <c r="C631" i="28"/>
  <c r="C634" i="28"/>
  <c r="C635" i="28"/>
  <c r="C636" i="28"/>
  <c r="C637" i="28"/>
  <c r="C638" i="28"/>
  <c r="C641" i="28"/>
  <c r="AD643" i="28"/>
  <c r="AC645" i="28" l="1"/>
  <c r="A645" i="28"/>
  <c r="B646" i="28"/>
  <c r="E386" i="28"/>
  <c r="D389" i="28"/>
  <c r="AD644" i="28"/>
  <c r="AE643" i="28" a="1"/>
  <c r="AE643" i="28" s="1"/>
  <c r="C643" i="28" s="1"/>
  <c r="AD645" i="28" l="1"/>
  <c r="AE644" i="28" a="1"/>
  <c r="AE644" i="28" s="1"/>
  <c r="E389" i="28"/>
  <c r="D390" i="28"/>
  <c r="AC646" i="28"/>
  <c r="B647" i="28"/>
  <c r="A646" i="28"/>
  <c r="C646" i="28" s="1"/>
  <c r="E646" i="28"/>
  <c r="AC647" i="28" l="1"/>
  <c r="B648" i="28"/>
  <c r="E647" i="28"/>
  <c r="A647" i="28"/>
  <c r="C647" i="28" s="1"/>
  <c r="E390" i="28"/>
  <c r="D391" i="28"/>
  <c r="AD646" i="28"/>
  <c r="AE645" i="28" a="1"/>
  <c r="AE645" i="28" s="1"/>
  <c r="AD647" i="28" l="1"/>
  <c r="AE646" i="28" a="1"/>
  <c r="AE646" i="28" s="1"/>
  <c r="E391" i="28"/>
  <c r="D392" i="28"/>
  <c r="AC648" i="28"/>
  <c r="B649" i="28"/>
  <c r="A648" i="28"/>
  <c r="AC649" i="28" l="1"/>
  <c r="B650" i="28"/>
  <c r="A649" i="28"/>
  <c r="E392" i="28"/>
  <c r="D393" i="28"/>
  <c r="AD648" i="28"/>
  <c r="AE647" i="28" a="1"/>
  <c r="AE647" i="28" s="1"/>
  <c r="AD649" i="28" l="1"/>
  <c r="AE648" i="28" a="1"/>
  <c r="AE648" i="28" s="1"/>
  <c r="E393" i="28"/>
  <c r="D396" i="28"/>
  <c r="AC650" i="28"/>
  <c r="B651" i="28"/>
  <c r="A650" i="28"/>
  <c r="AC651" i="28" l="1"/>
  <c r="A651" i="28"/>
  <c r="B652" i="28"/>
  <c r="E396" i="28"/>
  <c r="D397" i="28"/>
  <c r="AD650" i="28"/>
  <c r="AE649" i="28" a="1"/>
  <c r="AE649" i="28" s="1"/>
  <c r="AD651" i="28" l="1"/>
  <c r="AE650" i="28" a="1"/>
  <c r="AE650" i="28" s="1"/>
  <c r="E397" i="28"/>
  <c r="D398" i="28"/>
  <c r="AC652" i="28"/>
  <c r="B653" i="28"/>
  <c r="A652" i="28"/>
  <c r="AC653" i="28" l="1"/>
  <c r="B654" i="28"/>
  <c r="E653" i="28"/>
  <c r="A653" i="28"/>
  <c r="C653" i="28" s="1"/>
  <c r="E398" i="28"/>
  <c r="D399" i="28"/>
  <c r="AD652" i="28"/>
  <c r="AE651" i="28" a="1"/>
  <c r="AE651" i="28" s="1"/>
  <c r="E399" i="28" l="1"/>
  <c r="D400" i="28"/>
  <c r="AD653" i="28"/>
  <c r="AE652" i="28" a="1"/>
  <c r="AE652" i="28" s="1"/>
  <c r="AC654" i="28"/>
  <c r="B655" i="28"/>
  <c r="A654" i="28"/>
  <c r="C654" i="28" s="1"/>
  <c r="E654" i="28"/>
  <c r="AC655" i="28" l="1"/>
  <c r="A655" i="28"/>
  <c r="B656" i="28"/>
  <c r="AD654" i="28"/>
  <c r="AE653" i="28" a="1"/>
  <c r="AE653" i="28" s="1"/>
  <c r="E400" i="28"/>
  <c r="D403" i="28"/>
  <c r="E403" i="28" l="1"/>
  <c r="D404" i="28"/>
  <c r="AD655" i="28"/>
  <c r="AE654" i="28" a="1"/>
  <c r="AE654" i="28" s="1"/>
  <c r="AC656" i="28"/>
  <c r="A656" i="28"/>
  <c r="B657" i="28"/>
  <c r="AC657" i="28" l="1"/>
  <c r="B658" i="28"/>
  <c r="A657" i="28"/>
  <c r="AD656" i="28"/>
  <c r="AE655" i="28" a="1"/>
  <c r="AE655" i="28" s="1"/>
  <c r="E404" i="28"/>
  <c r="D405" i="28"/>
  <c r="E405" i="28" l="1"/>
  <c r="D406" i="28"/>
  <c r="AD657" i="28"/>
  <c r="AE656" i="28" a="1"/>
  <c r="AE656" i="28" s="1"/>
  <c r="AC658" i="28"/>
  <c r="B659" i="28"/>
  <c r="A658" i="28"/>
  <c r="AC659" i="28" l="1"/>
  <c r="B660" i="28"/>
  <c r="A659" i="28"/>
  <c r="AD658" i="28"/>
  <c r="AE657" i="28" a="1"/>
  <c r="AE657" i="28" s="1"/>
  <c r="E406" i="28"/>
  <c r="D407" i="28"/>
  <c r="E407" i="28" l="1"/>
  <c r="D410" i="28"/>
  <c r="AD659" i="28"/>
  <c r="AE658" i="28" a="1"/>
  <c r="AE658" i="28" s="1"/>
  <c r="AC660" i="28"/>
  <c r="B661" i="28"/>
  <c r="A660" i="28"/>
  <c r="C660" i="28" s="1"/>
  <c r="E660" i="28"/>
  <c r="AC661" i="28" l="1"/>
  <c r="B662" i="28"/>
  <c r="E661" i="28"/>
  <c r="A661" i="28"/>
  <c r="C661" i="28" s="1"/>
  <c r="AD660" i="28"/>
  <c r="AE659" i="28" a="1"/>
  <c r="AE659" i="28" s="1"/>
  <c r="E410" i="28"/>
  <c r="D411" i="28"/>
  <c r="E411" i="28" l="1"/>
  <c r="D412" i="28"/>
  <c r="AD661" i="28"/>
  <c r="AE660" i="28" a="1"/>
  <c r="AE660" i="28" s="1"/>
  <c r="AC662" i="28"/>
  <c r="A662" i="28"/>
  <c r="B663" i="28"/>
  <c r="AC663" i="28" l="1"/>
  <c r="B664" i="28"/>
  <c r="A663" i="28"/>
  <c r="AD662" i="28"/>
  <c r="AE661" i="28" a="1"/>
  <c r="AE661" i="28" s="1"/>
  <c r="E412" i="28"/>
  <c r="D413" i="28"/>
  <c r="E413" i="28" l="1"/>
  <c r="D414" i="28"/>
  <c r="AD663" i="28"/>
  <c r="AE662" i="28" a="1"/>
  <c r="AE662" i="28" s="1"/>
  <c r="AC664" i="28"/>
  <c r="B665" i="28"/>
  <c r="A664" i="28"/>
  <c r="AC665" i="28" l="1"/>
  <c r="B666" i="28"/>
  <c r="A665" i="28"/>
  <c r="AD664" i="28"/>
  <c r="AE663" i="28" a="1"/>
  <c r="AE663" i="28" s="1"/>
  <c r="E414" i="28"/>
  <c r="D417" i="28"/>
  <c r="E417" i="28" l="1"/>
  <c r="D418" i="28"/>
  <c r="AD665" i="28"/>
  <c r="AE665" i="28" s="1" a="1"/>
  <c r="AE665" i="28" s="1"/>
  <c r="AE664" i="28" a="1"/>
  <c r="AE664" i="28" s="1"/>
  <c r="AC666" i="28"/>
  <c r="AD666" i="28" s="1"/>
  <c r="AE666" i="28" s="1" a="1"/>
  <c r="AE666" i="28" s="1"/>
  <c r="A666" i="28"/>
  <c r="B667" i="28"/>
  <c r="AC667" i="28" l="1"/>
  <c r="AD667" i="28" s="1"/>
  <c r="B668" i="28"/>
  <c r="A667" i="28"/>
  <c r="C667" i="28" s="1"/>
  <c r="E667" i="28"/>
  <c r="E418" i="28"/>
  <c r="D419" i="28"/>
  <c r="E419" i="28" l="1"/>
  <c r="D420" i="28"/>
  <c r="AC668" i="28"/>
  <c r="E668" i="28"/>
  <c r="B669" i="28"/>
  <c r="A668" i="28"/>
  <c r="C668" i="28" s="1"/>
  <c r="AD668" i="28"/>
  <c r="AE667" i="28" a="1"/>
  <c r="AE667" i="28" s="1"/>
  <c r="AE668" i="28" l="1" a="1"/>
  <c r="AE668" i="28" s="1"/>
  <c r="AC669" i="28"/>
  <c r="AD669" i="28" s="1"/>
  <c r="B670" i="28"/>
  <c r="A669" i="28"/>
  <c r="E420" i="28"/>
  <c r="D421" i="28"/>
  <c r="AE669" i="28" l="1" a="1"/>
  <c r="AE669" i="28" s="1"/>
  <c r="E421" i="28"/>
  <c r="D424" i="28"/>
  <c r="AC670" i="28"/>
  <c r="AD670" i="28" s="1"/>
  <c r="A670" i="28"/>
  <c r="B671" i="28"/>
  <c r="AE670" i="28" l="1" a="1"/>
  <c r="AE670" i="28" s="1"/>
  <c r="AC671" i="28"/>
  <c r="AD671" i="28" s="1"/>
  <c r="AE671" i="28" s="1" a="1"/>
  <c r="AE671" i="28" s="1"/>
  <c r="A671" i="28"/>
  <c r="B672" i="28"/>
  <c r="E424" i="28"/>
  <c r="D425" i="28"/>
  <c r="E425" i="28" l="1"/>
  <c r="D426" i="28"/>
  <c r="AC672" i="28"/>
  <c r="AD672" i="28" s="1"/>
  <c r="AE672" i="28" s="1" a="1"/>
  <c r="AE672" i="28" s="1"/>
  <c r="A672" i="28"/>
  <c r="B673" i="28"/>
  <c r="AC673" i="28" l="1"/>
  <c r="AD673" i="28" s="1"/>
  <c r="AE673" i="28" s="1" a="1"/>
  <c r="AE673" i="28" s="1"/>
  <c r="A673" i="28"/>
  <c r="B674" i="28"/>
  <c r="E426" i="28"/>
  <c r="D427" i="28"/>
  <c r="E427" i="28" l="1"/>
  <c r="D428" i="28"/>
  <c r="AC674" i="28"/>
  <c r="AD674" i="28" s="1"/>
  <c r="AE674" i="28" s="1" a="1"/>
  <c r="AE674" i="28" s="1"/>
  <c r="E674" i="28"/>
  <c r="B675" i="28"/>
  <c r="A674" i="28"/>
  <c r="C674" i="28" s="1"/>
  <c r="AC675" i="28" l="1"/>
  <c r="AD675" i="28" s="1"/>
  <c r="A675" i="28"/>
  <c r="C675" i="28" s="1"/>
  <c r="E675" i="28"/>
  <c r="B676" i="28"/>
  <c r="E428" i="28"/>
  <c r="D431" i="28"/>
  <c r="E431" i="28" l="1"/>
  <c r="D432" i="28"/>
  <c r="AC676" i="28"/>
  <c r="B677" i="28"/>
  <c r="A676" i="28"/>
  <c r="AD676" i="28"/>
  <c r="AE675" i="28" a="1"/>
  <c r="AE675" i="28" s="1"/>
  <c r="AE676" i="28" l="1" a="1"/>
  <c r="AE676" i="28" s="1"/>
  <c r="AC677" i="28"/>
  <c r="AD677" i="28" s="1"/>
  <c r="B678" i="28"/>
  <c r="A677" i="28"/>
  <c r="E432" i="28"/>
  <c r="D433" i="28"/>
  <c r="AE677" i="28" l="1" a="1"/>
  <c r="AE677" i="28" s="1"/>
  <c r="E433" i="28"/>
  <c r="D434" i="28"/>
  <c r="AC678" i="28"/>
  <c r="AD678" i="28" s="1"/>
  <c r="B679" i="28"/>
  <c r="A678" i="28"/>
  <c r="AE678" i="28" l="1" a="1"/>
  <c r="AE678" i="28" s="1"/>
  <c r="AC679" i="28"/>
  <c r="AD679" i="28" s="1"/>
  <c r="A679" i="28"/>
  <c r="B680" i="28"/>
  <c r="E434" i="28"/>
  <c r="D435" i="28"/>
  <c r="AE679" i="28" l="1" a="1"/>
  <c r="AE679" i="28" s="1"/>
  <c r="E435" i="28"/>
  <c r="D438" i="28"/>
  <c r="AC680" i="28"/>
  <c r="AD680" i="28" s="1"/>
  <c r="AE680" i="28" s="1" a="1"/>
  <c r="AE680" i="28" s="1"/>
  <c r="B681" i="28"/>
  <c r="A680" i="28"/>
  <c r="AC681" i="28" l="1"/>
  <c r="AD681" i="28" s="1"/>
  <c r="B682" i="28"/>
  <c r="A681" i="28"/>
  <c r="C681" i="28" s="1"/>
  <c r="E681" i="28"/>
  <c r="E438" i="28"/>
  <c r="D439" i="28"/>
  <c r="E439" i="28" l="1"/>
  <c r="D440" i="28"/>
  <c r="AC682" i="28"/>
  <c r="B683" i="28"/>
  <c r="A682" i="28"/>
  <c r="C682" i="28" s="1"/>
  <c r="E682" i="28"/>
  <c r="AD682" i="28"/>
  <c r="AE681" i="28" a="1"/>
  <c r="AE681" i="28" s="1"/>
  <c r="AE682" i="28" l="1" a="1"/>
  <c r="AE682" i="28" s="1"/>
  <c r="AC683" i="28"/>
  <c r="AD683" i="28" s="1"/>
  <c r="A683" i="28"/>
  <c r="B684" i="28"/>
  <c r="E440" i="28"/>
  <c r="D441" i="28"/>
  <c r="AE683" i="28" l="1" a="1"/>
  <c r="AE683" i="28" s="1"/>
  <c r="E441" i="28"/>
  <c r="D442" i="28"/>
  <c r="AC684" i="28"/>
  <c r="AD684" i="28" s="1"/>
  <c r="A684" i="28"/>
  <c r="B685" i="28"/>
  <c r="AE684" i="28" l="1" a="1"/>
  <c r="AE684" i="28" s="1"/>
  <c r="AC685" i="28"/>
  <c r="AD685" i="28" s="1"/>
  <c r="A685" i="28"/>
  <c r="B686" i="28"/>
  <c r="E442" i="28"/>
  <c r="D445" i="28"/>
  <c r="AE685" i="28" l="1" a="1"/>
  <c r="AE685" i="28" s="1"/>
  <c r="E445" i="28"/>
  <c r="D446" i="28"/>
  <c r="AC686" i="28"/>
  <c r="AD686" i="28" s="1"/>
  <c r="A686" i="28"/>
  <c r="B687" i="28"/>
  <c r="AE686" i="28" l="1" a="1"/>
  <c r="AE686" i="28" s="1"/>
  <c r="AC687" i="28"/>
  <c r="AD687" i="28" s="1"/>
  <c r="B688" i="28"/>
  <c r="A687" i="28"/>
  <c r="E446" i="28"/>
  <c r="D447" i="28"/>
  <c r="AE687" i="28" l="1" a="1"/>
  <c r="AE687" i="28" s="1"/>
  <c r="E447" i="28"/>
  <c r="D448" i="28"/>
  <c r="AC688" i="28"/>
  <c r="AD688" i="28" s="1"/>
  <c r="B689" i="28"/>
  <c r="E688" i="28"/>
  <c r="A688" i="28"/>
  <c r="C688" i="28" s="1"/>
  <c r="AE688" i="28" l="1" a="1"/>
  <c r="AE688" i="28" s="1"/>
  <c r="AC689" i="28"/>
  <c r="B690" i="28"/>
  <c r="E689" i="28"/>
  <c r="A689" i="28"/>
  <c r="C689" i="28" s="1"/>
  <c r="E448" i="28"/>
  <c r="D449" i="28"/>
  <c r="E449" i="28" l="1"/>
  <c r="D452" i="28"/>
  <c r="AC690" i="28"/>
  <c r="B691" i="28"/>
  <c r="A690" i="28"/>
  <c r="C644" i="28"/>
  <c r="C645" i="28"/>
  <c r="C648" i="28"/>
  <c r="C649" i="28"/>
  <c r="C650" i="28"/>
  <c r="C651" i="28"/>
  <c r="C652" i="28"/>
  <c r="C655" i="28"/>
  <c r="C656" i="28"/>
  <c r="C657" i="28"/>
  <c r="C658" i="28"/>
  <c r="C659" i="28"/>
  <c r="C662" i="28"/>
  <c r="C663" i="28"/>
  <c r="C664" i="28"/>
  <c r="C665" i="28"/>
  <c r="C666" i="28"/>
  <c r="C669" i="28"/>
  <c r="C670" i="28"/>
  <c r="C671" i="28"/>
  <c r="C672" i="28"/>
  <c r="C673" i="28"/>
  <c r="C676" i="28"/>
  <c r="C677" i="28"/>
  <c r="C678" i="28"/>
  <c r="C679" i="28"/>
  <c r="C680" i="28"/>
  <c r="C683" i="28"/>
  <c r="C684" i="28"/>
  <c r="C685" i="28"/>
  <c r="C686" i="28"/>
  <c r="C687" i="28"/>
  <c r="AD689" i="28"/>
  <c r="AD690" i="28" l="1"/>
  <c r="AE689" i="28" a="1"/>
  <c r="AE689" i="28" s="1"/>
  <c r="AC691" i="28"/>
  <c r="B692" i="28"/>
  <c r="A691" i="28"/>
  <c r="E452" i="28"/>
  <c r="D453" i="28"/>
  <c r="E453" i="28" l="1"/>
  <c r="D454" i="28"/>
  <c r="AC692" i="28"/>
  <c r="B693" i="28"/>
  <c r="A692" i="28"/>
  <c r="AD691" i="28"/>
  <c r="AE690" i="28" a="1"/>
  <c r="AE690" i="28" s="1"/>
  <c r="AD692" i="28" l="1"/>
  <c r="AE691" i="28" a="1"/>
  <c r="AE691" i="28" s="1"/>
  <c r="AC693" i="28"/>
  <c r="B694" i="28"/>
  <c r="A693" i="28"/>
  <c r="E454" i="28"/>
  <c r="D455" i="28"/>
  <c r="E455" i="28" l="1"/>
  <c r="D456" i="28"/>
  <c r="AC694" i="28"/>
  <c r="B695" i="28"/>
  <c r="A694" i="28"/>
  <c r="AD693" i="28"/>
  <c r="AE692" i="28" a="1"/>
  <c r="AE692" i="28" s="1"/>
  <c r="AD694" i="28" l="1"/>
  <c r="AE693" i="28" a="1"/>
  <c r="AE693" i="28" s="1"/>
  <c r="AC695" i="28"/>
  <c r="E695" i="28"/>
  <c r="B696" i="28"/>
  <c r="A695" i="28"/>
  <c r="C695" i="28" s="1"/>
  <c r="E456" i="28"/>
  <c r="D459" i="28"/>
  <c r="E459" i="28" l="1"/>
  <c r="D460" i="28"/>
  <c r="AC696" i="28"/>
  <c r="E696" i="28"/>
  <c r="B697" i="28"/>
  <c r="A696" i="28"/>
  <c r="C696" i="28" s="1"/>
  <c r="AD695" i="28"/>
  <c r="AE694" i="28" a="1"/>
  <c r="AE694" i="28" s="1"/>
  <c r="AD696" i="28" l="1"/>
  <c r="AE695" i="28" a="1"/>
  <c r="AE695" i="28" s="1"/>
  <c r="AC697" i="28"/>
  <c r="B698" i="28"/>
  <c r="A697" i="28"/>
  <c r="E460" i="28"/>
  <c r="D461" i="28"/>
  <c r="E461" i="28" l="1"/>
  <c r="D462" i="28"/>
  <c r="AC698" i="28"/>
  <c r="A698" i="28"/>
  <c r="B699" i="28"/>
  <c r="AD697" i="28"/>
  <c r="AE696" i="28" a="1"/>
  <c r="AE696" i="28" s="1"/>
  <c r="AD698" i="28" l="1"/>
  <c r="AE697" i="28" a="1"/>
  <c r="AE697" i="28" s="1"/>
  <c r="AC699" i="28"/>
  <c r="A699" i="28"/>
  <c r="B700" i="28"/>
  <c r="E462" i="28"/>
  <c r="D463" i="28"/>
  <c r="E463" i="28" l="1"/>
  <c r="D466" i="28"/>
  <c r="AC700" i="28"/>
  <c r="B701" i="28"/>
  <c r="A700" i="28"/>
  <c r="AD699" i="28"/>
  <c r="AE698" i="28" a="1"/>
  <c r="AE698" i="28" s="1"/>
  <c r="AD700" i="28" l="1"/>
  <c r="AE699" i="28" a="1"/>
  <c r="AE699" i="28" s="1"/>
  <c r="AC701" i="28"/>
  <c r="A701" i="28"/>
  <c r="B702" i="28"/>
  <c r="E466" i="28"/>
  <c r="D467" i="28"/>
  <c r="E467" i="28" l="1"/>
  <c r="D468" i="28"/>
  <c r="AC702" i="28"/>
  <c r="B703" i="28"/>
  <c r="A702" i="28"/>
  <c r="C702" i="28" s="1"/>
  <c r="E702" i="28"/>
  <c r="AD701" i="28"/>
  <c r="AE700" i="28" a="1"/>
  <c r="AE700" i="28" s="1"/>
  <c r="AD702" i="28" l="1"/>
  <c r="AE701" i="28" a="1"/>
  <c r="AE701" i="28" s="1"/>
  <c r="AC703" i="28"/>
  <c r="B704" i="28"/>
  <c r="E703" i="28"/>
  <c r="A703" i="28"/>
  <c r="C703" i="28" s="1"/>
  <c r="E468" i="28"/>
  <c r="D469" i="28"/>
  <c r="E469" i="28" l="1"/>
  <c r="D470" i="28"/>
  <c r="AC704" i="28"/>
  <c r="A704" i="28"/>
  <c r="B705" i="28"/>
  <c r="AD703" i="28"/>
  <c r="AE702" i="28" a="1"/>
  <c r="AE702" i="28" s="1"/>
  <c r="AD704" i="28" l="1"/>
  <c r="AE703" i="28" a="1"/>
  <c r="AE703" i="28" s="1"/>
  <c r="AC705" i="28"/>
  <c r="B706" i="28"/>
  <c r="A705" i="28"/>
  <c r="E470" i="28"/>
  <c r="D473" i="28"/>
  <c r="E473" i="28" l="1"/>
  <c r="D474" i="28"/>
  <c r="AC706" i="28"/>
  <c r="B707" i="28"/>
  <c r="A706" i="28"/>
  <c r="AD705" i="28"/>
  <c r="AE704" i="28" a="1"/>
  <c r="AE704" i="28" s="1"/>
  <c r="AD706" i="28" l="1"/>
  <c r="AE705" i="28" a="1"/>
  <c r="AE705" i="28" s="1"/>
  <c r="AC707" i="28"/>
  <c r="B708" i="28"/>
  <c r="A707" i="28"/>
  <c r="E474" i="28"/>
  <c r="D475" i="28"/>
  <c r="E475" i="28" l="1"/>
  <c r="D476" i="28"/>
  <c r="AC708" i="28"/>
  <c r="B709" i="28"/>
  <c r="A708" i="28"/>
  <c r="AD707" i="28"/>
  <c r="AE706" i="28" a="1"/>
  <c r="AE706" i="28" s="1"/>
  <c r="AD708" i="28" l="1"/>
  <c r="AE707" i="28" a="1"/>
  <c r="AE707" i="28" s="1"/>
  <c r="AC709" i="28"/>
  <c r="B710" i="28"/>
  <c r="A709" i="28"/>
  <c r="C709" i="28" s="1"/>
  <c r="E709" i="28"/>
  <c r="E476" i="28"/>
  <c r="D477" i="28"/>
  <c r="E477" i="28" l="1"/>
  <c r="D480" i="28"/>
  <c r="AC710" i="28"/>
  <c r="B711" i="28"/>
  <c r="E710" i="28"/>
  <c r="A710" i="28"/>
  <c r="C710" i="28" s="1"/>
  <c r="AD709" i="28"/>
  <c r="AE708" i="28" a="1"/>
  <c r="AE708" i="28" s="1"/>
  <c r="AD710" i="28" l="1"/>
  <c r="AE709" i="28" a="1"/>
  <c r="AE709" i="28" s="1"/>
  <c r="AC711" i="28"/>
  <c r="B712" i="28"/>
  <c r="A711" i="28"/>
  <c r="E480" i="28"/>
  <c r="D481" i="28"/>
  <c r="E481" i="28" l="1"/>
  <c r="D482" i="28"/>
  <c r="AC712" i="28"/>
  <c r="A712" i="28"/>
  <c r="B713" i="28"/>
  <c r="AD711" i="28"/>
  <c r="AE710" i="28" a="1"/>
  <c r="AE710" i="28" s="1"/>
  <c r="AD712" i="28" l="1"/>
  <c r="AE711" i="28" a="1"/>
  <c r="AE711" i="28" s="1"/>
  <c r="AC713" i="28"/>
  <c r="A713" i="28"/>
  <c r="B714" i="28"/>
  <c r="C690" i="28"/>
  <c r="C691" i="28"/>
  <c r="C692" i="28"/>
  <c r="C693" i="28"/>
  <c r="C694" i="28"/>
  <c r="C697" i="28"/>
  <c r="C698" i="28"/>
  <c r="C699" i="28"/>
  <c r="C700" i="28"/>
  <c r="C701" i="28"/>
  <c r="C704" i="28"/>
  <c r="C705" i="28"/>
  <c r="C706" i="28"/>
  <c r="C707" i="28"/>
  <c r="C708" i="28"/>
  <c r="C711" i="28"/>
  <c r="E482" i="28"/>
  <c r="D483" i="28"/>
  <c r="AC714" i="28" l="1"/>
  <c r="B715" i="28"/>
  <c r="A714" i="28"/>
  <c r="E483" i="28"/>
  <c r="D484" i="28"/>
  <c r="AD713" i="28"/>
  <c r="AE712" i="28" a="1"/>
  <c r="AE712" i="28" s="1"/>
  <c r="C712" i="28" s="1"/>
  <c r="AD714" i="28" l="1"/>
  <c r="AE714" i="28" s="1" a="1"/>
  <c r="AE714" i="28" s="1"/>
  <c r="AE713" i="28" a="1"/>
  <c r="AE713" i="28" s="1"/>
  <c r="E484" i="28"/>
  <c r="D487" i="28"/>
  <c r="AC715" i="28"/>
  <c r="AD715" i="28" s="1"/>
  <c r="AE715" i="28" s="1" a="1"/>
  <c r="AE715" i="28" s="1"/>
  <c r="A715" i="28"/>
  <c r="B716" i="28"/>
  <c r="AC716" i="28" l="1"/>
  <c r="AD716" i="28" s="1"/>
  <c r="B717" i="28"/>
  <c r="A716" i="28"/>
  <c r="C716" i="28" s="1"/>
  <c r="E716" i="28"/>
  <c r="E487" i="28"/>
  <c r="D488" i="28"/>
  <c r="AE716" i="28" l="1" a="1"/>
  <c r="AE716" i="28" s="1"/>
  <c r="E488" i="28"/>
  <c r="D489" i="28"/>
  <c r="AC717" i="28"/>
  <c r="AD717" i="28" s="1"/>
  <c r="E717" i="28"/>
  <c r="B718" i="28"/>
  <c r="A717" i="28"/>
  <c r="C717" i="28" s="1"/>
  <c r="AE717" i="28" l="1" a="1"/>
  <c r="AE717" i="28" s="1"/>
  <c r="AC718" i="28"/>
  <c r="AD718" i="28" s="1"/>
  <c r="B719" i="28"/>
  <c r="A718" i="28"/>
  <c r="E489" i="28"/>
  <c r="D490" i="28"/>
  <c r="AD719" i="28" l="1"/>
  <c r="AE718" i="28" a="1"/>
  <c r="AE718" i="28" s="1"/>
  <c r="AC719" i="28"/>
  <c r="B720" i="28"/>
  <c r="A719" i="28"/>
  <c r="E490" i="28"/>
  <c r="D491" i="28"/>
  <c r="E491" i="28" l="1"/>
  <c r="D494" i="28"/>
  <c r="AC720" i="28"/>
  <c r="B721" i="28"/>
  <c r="A720" i="28"/>
  <c r="AD720" i="28"/>
  <c r="AE720" i="28" s="1" a="1"/>
  <c r="AE720" i="28" s="1"/>
  <c r="AE719" i="28" a="1"/>
  <c r="AE719" i="28" s="1"/>
  <c r="E494" i="28" l="1"/>
  <c r="D495" i="28"/>
  <c r="AC721" i="28"/>
  <c r="AD721" i="28" s="1"/>
  <c r="B722" i="28"/>
  <c r="A721" i="28"/>
  <c r="AC722" i="28" l="1"/>
  <c r="B723" i="28"/>
  <c r="A722" i="28"/>
  <c r="E495" i="28"/>
  <c r="D496" i="28"/>
  <c r="AD722" i="28"/>
  <c r="AE721" i="28" a="1"/>
  <c r="AE721" i="28" s="1"/>
  <c r="AE722" i="28" l="1" a="1"/>
  <c r="AE722" i="28" s="1"/>
  <c r="E496" i="28"/>
  <c r="D497" i="28"/>
  <c r="AC723" i="28"/>
  <c r="B724" i="28"/>
  <c r="A723" i="28"/>
  <c r="C723" i="28" s="1"/>
  <c r="E723" i="28"/>
  <c r="AC724" i="28" l="1"/>
  <c r="A724" i="28"/>
  <c r="C724" i="28" s="1"/>
  <c r="B725" i="28"/>
  <c r="E724" i="28"/>
  <c r="C713" i="28"/>
  <c r="C714" i="28"/>
  <c r="C715" i="28"/>
  <c r="C718" i="28"/>
  <c r="C719" i="28"/>
  <c r="C720" i="28"/>
  <c r="C721" i="28"/>
  <c r="C722" i="28"/>
  <c r="E497" i="28"/>
  <c r="D498" i="28"/>
  <c r="AD723" i="28"/>
  <c r="E498" i="28" l="1"/>
  <c r="D501" i="28"/>
  <c r="AC725" i="28"/>
  <c r="A725" i="28"/>
  <c r="B726" i="28"/>
  <c r="AD724" i="28"/>
  <c r="AE723" i="28" a="1"/>
  <c r="AE723" i="28" s="1"/>
  <c r="AD725" i="28" l="1"/>
  <c r="AE724" i="28" a="1"/>
  <c r="AE724" i="28" s="1"/>
  <c r="AC726" i="28"/>
  <c r="A726" i="28"/>
  <c r="B727" i="28"/>
  <c r="E501" i="28"/>
  <c r="D502" i="28"/>
  <c r="E502" i="28" l="1"/>
  <c r="D503" i="28"/>
  <c r="AC727" i="28"/>
  <c r="B728" i="28"/>
  <c r="A727" i="28"/>
  <c r="AD726" i="28"/>
  <c r="AE725" i="28" a="1"/>
  <c r="AE725" i="28" s="1"/>
  <c r="AD727" i="28" l="1"/>
  <c r="AE726" i="28" a="1"/>
  <c r="AE726" i="28" s="1"/>
  <c r="AC728" i="28"/>
  <c r="B729" i="28"/>
  <c r="A728" i="28"/>
  <c r="E503" i="28"/>
  <c r="D504" i="28"/>
  <c r="E504" i="28" l="1"/>
  <c r="D505" i="28"/>
  <c r="AC729" i="28"/>
  <c r="B730" i="28"/>
  <c r="A729" i="28"/>
  <c r="AD728" i="28"/>
  <c r="AE727" i="28" a="1"/>
  <c r="AE727" i="28" s="1"/>
  <c r="AD729" i="28" l="1"/>
  <c r="AE728" i="28" a="1"/>
  <c r="AE728" i="28" s="1"/>
  <c r="AC730" i="28"/>
  <c r="B731" i="28"/>
  <c r="E730" i="28"/>
  <c r="A730" i="28"/>
  <c r="C730" i="28" s="1"/>
  <c r="C725" i="28"/>
  <c r="C726" i="28"/>
  <c r="C727" i="28"/>
  <c r="C728" i="28"/>
  <c r="E505" i="28"/>
  <c r="D508" i="28"/>
  <c r="E508" i="28" l="1"/>
  <c r="D509" i="28"/>
  <c r="AC731" i="28"/>
  <c r="B732" i="28"/>
  <c r="E731" i="28"/>
  <c r="A731" i="28"/>
  <c r="C731" i="28" s="1"/>
  <c r="AD730" i="28"/>
  <c r="AE729" i="28" a="1"/>
  <c r="AE729" i="28" s="1"/>
  <c r="C729" i="28" s="1"/>
  <c r="AD731" i="28" l="1"/>
  <c r="AE730" i="28" a="1"/>
  <c r="AE730" i="28" s="1"/>
  <c r="AC732" i="28"/>
  <c r="A732" i="28"/>
  <c r="B733" i="28"/>
  <c r="E509" i="28"/>
  <c r="D510" i="28"/>
  <c r="E510" i="28" l="1"/>
  <c r="D511" i="28"/>
  <c r="AC733" i="28"/>
  <c r="B734" i="28"/>
  <c r="A733" i="28"/>
  <c r="AD732" i="28"/>
  <c r="AE731" i="28" a="1"/>
  <c r="AE731" i="28" s="1"/>
  <c r="AD733" i="28" l="1"/>
  <c r="AE732" i="28" a="1"/>
  <c r="AE732" i="28" s="1"/>
  <c r="C732" i="28" s="1"/>
  <c r="A734" i="28"/>
  <c r="AC734" i="28"/>
  <c r="E511" i="28"/>
  <c r="D512" i="28"/>
  <c r="E512" i="28" l="1"/>
  <c r="D515" i="28"/>
  <c r="AD734" i="28"/>
  <c r="AE734" i="28" s="1" a="1"/>
  <c r="AE734" i="28" s="1"/>
  <c r="C734" i="28" s="1"/>
  <c r="AE733" i="28" a="1"/>
  <c r="AE733" i="28" s="1"/>
  <c r="C733" i="28" s="1"/>
  <c r="E515" i="28" l="1"/>
  <c r="D516" i="28"/>
  <c r="E516" i="28" l="1"/>
  <c r="D517" i="28"/>
  <c r="E517" i="28" l="1"/>
  <c r="D518" i="28"/>
  <c r="E518" i="28" l="1"/>
  <c r="D519" i="28"/>
  <c r="E519" i="28" l="1"/>
  <c r="D522" i="28"/>
  <c r="E522" i="28" l="1"/>
  <c r="D523" i="28"/>
  <c r="E523" i="28" l="1"/>
  <c r="D524" i="28"/>
  <c r="E524" i="28" l="1"/>
  <c r="D525" i="28"/>
  <c r="E525" i="28" l="1"/>
  <c r="D526" i="28"/>
  <c r="E526" i="28" l="1"/>
  <c r="D529" i="28"/>
  <c r="E529" i="28" l="1"/>
  <c r="D530" i="28"/>
  <c r="E530" i="28" l="1"/>
  <c r="D531" i="28"/>
  <c r="E531" i="28" l="1"/>
  <c r="D532" i="28"/>
  <c r="E532" i="28" l="1"/>
  <c r="D533" i="28"/>
  <c r="E533" i="28" l="1"/>
  <c r="D536" i="28"/>
  <c r="E536" i="28" l="1"/>
  <c r="D537" i="28"/>
  <c r="E537" i="28" l="1"/>
  <c r="D538" i="28"/>
  <c r="E538" i="28" l="1"/>
  <c r="D539" i="28"/>
  <c r="E539" i="28" l="1"/>
  <c r="D540" i="28"/>
  <c r="E540" i="28" l="1"/>
  <c r="D543" i="28"/>
  <c r="E543" i="28" l="1"/>
  <c r="D544" i="28"/>
  <c r="E544" i="28" l="1"/>
  <c r="D545" i="28"/>
  <c r="E545" i="28" l="1"/>
  <c r="D546" i="28"/>
  <c r="E546" i="28" l="1"/>
  <c r="D547" i="28"/>
  <c r="E547" i="28" l="1"/>
  <c r="D550" i="28"/>
  <c r="E550" i="28" l="1"/>
  <c r="D551" i="28"/>
  <c r="E551" i="28" l="1"/>
  <c r="D552" i="28"/>
  <c r="E552" i="28" l="1"/>
  <c r="D553" i="28"/>
  <c r="E553" i="28" l="1"/>
  <c r="D554" i="28"/>
  <c r="E554" i="28" l="1"/>
  <c r="D557" i="28"/>
  <c r="E557" i="28" l="1"/>
  <c r="D558" i="28"/>
  <c r="E558" i="28" l="1"/>
  <c r="D559" i="28"/>
  <c r="E559" i="28" l="1"/>
  <c r="D560" i="28"/>
  <c r="E560" i="28" l="1"/>
  <c r="D561" i="28"/>
  <c r="E561" i="28" l="1"/>
  <c r="D564" i="28"/>
  <c r="E564" i="28" l="1"/>
  <c r="D565" i="28"/>
  <c r="E565" i="28" l="1"/>
  <c r="D566" i="28"/>
  <c r="E566" i="28" l="1"/>
  <c r="D567" i="28"/>
  <c r="E567" i="28" l="1"/>
  <c r="D568" i="28"/>
  <c r="E568" i="28" l="1"/>
  <c r="D571" i="28"/>
  <c r="E571" i="28" l="1"/>
  <c r="D572" i="28"/>
  <c r="E572" i="28" l="1"/>
  <c r="D573" i="28"/>
  <c r="E573" i="28" l="1"/>
  <c r="D574" i="28"/>
  <c r="E574" i="28" l="1"/>
  <c r="D575" i="28"/>
  <c r="E575" i="28" l="1"/>
  <c r="D578" i="28"/>
  <c r="E578" i="28" l="1"/>
  <c r="D579" i="28"/>
  <c r="E579" i="28" l="1"/>
  <c r="D580" i="28"/>
  <c r="E580" i="28" l="1"/>
  <c r="D581" i="28"/>
  <c r="E581" i="28" l="1"/>
  <c r="D582" i="28"/>
  <c r="E582" i="28" l="1"/>
  <c r="D585" i="28"/>
  <c r="E585" i="28" l="1"/>
  <c r="D586" i="28"/>
  <c r="E586" i="28" l="1"/>
  <c r="D587" i="28"/>
  <c r="E587" i="28" l="1"/>
  <c r="D588" i="28"/>
  <c r="E588" i="28" l="1"/>
  <c r="D589" i="28"/>
  <c r="E589" i="28" l="1"/>
  <c r="D592" i="28"/>
  <c r="E592" i="28" l="1"/>
  <c r="D593" i="28"/>
  <c r="E593" i="28" l="1"/>
  <c r="D594" i="28"/>
  <c r="E594" i="28" l="1"/>
  <c r="D595" i="28"/>
  <c r="E595" i="28" l="1"/>
  <c r="D596" i="28"/>
  <c r="E596" i="28" l="1"/>
  <c r="D599" i="28"/>
  <c r="E599" i="28" l="1"/>
  <c r="D600" i="28"/>
  <c r="E600" i="28" l="1"/>
  <c r="D601" i="28"/>
  <c r="E601" i="28" l="1"/>
  <c r="D602" i="28"/>
  <c r="E602" i="28" l="1"/>
  <c r="D603" i="28"/>
  <c r="E603" i="28" l="1"/>
  <c r="D606" i="28"/>
  <c r="E606" i="28" l="1"/>
  <c r="D607" i="28"/>
  <c r="E607" i="28" l="1"/>
  <c r="D608" i="28"/>
  <c r="E608" i="28" l="1"/>
  <c r="D609" i="28"/>
  <c r="E609" i="28" l="1"/>
  <c r="D610" i="28"/>
  <c r="E610" i="28" l="1"/>
  <c r="D613" i="28"/>
  <c r="E613" i="28" l="1"/>
  <c r="D614" i="28"/>
  <c r="E614" i="28" l="1"/>
  <c r="D615" i="28"/>
  <c r="E615" i="28" l="1"/>
  <c r="D616" i="28"/>
  <c r="E616" i="28" l="1"/>
  <c r="D617" i="28"/>
  <c r="E617" i="28" l="1"/>
  <c r="D620" i="28"/>
  <c r="E620" i="28" l="1"/>
  <c r="D621" i="28"/>
  <c r="E621" i="28" l="1"/>
  <c r="D622" i="28"/>
  <c r="E622" i="28" l="1"/>
  <c r="D623" i="28"/>
  <c r="E623" i="28" l="1"/>
  <c r="D624" i="28"/>
  <c r="E624" i="28" l="1"/>
  <c r="D627" i="28"/>
  <c r="E627" i="28" l="1"/>
  <c r="D628" i="28"/>
  <c r="E628" i="28" l="1"/>
  <c r="D629" i="28"/>
  <c r="E629" i="28" l="1"/>
  <c r="D630" i="28"/>
  <c r="E630" i="28" l="1"/>
  <c r="D631" i="28"/>
  <c r="E631" i="28" l="1"/>
  <c r="D634" i="28"/>
  <c r="E634" i="28" l="1"/>
  <c r="D635" i="28"/>
  <c r="E635" i="28" l="1"/>
  <c r="D636" i="28"/>
  <c r="E636" i="28" l="1"/>
  <c r="D637" i="28"/>
  <c r="E637" i="28" l="1"/>
  <c r="D638" i="28"/>
  <c r="E638" i="28" l="1"/>
  <c r="D641" i="28"/>
  <c r="E641" i="28" l="1"/>
  <c r="D642" i="28"/>
  <c r="E642" i="28" l="1"/>
  <c r="D643" i="28"/>
  <c r="E643" i="28" l="1"/>
  <c r="D644" i="28"/>
  <c r="E644" i="28" l="1"/>
  <c r="D645" i="28"/>
  <c r="E645" i="28" l="1"/>
  <c r="D648" i="28"/>
  <c r="E648" i="28" l="1"/>
  <c r="D649" i="28"/>
  <c r="E649" i="28" l="1"/>
  <c r="D650" i="28"/>
  <c r="E650" i="28" l="1"/>
  <c r="D651" i="28"/>
  <c r="E651" i="28" l="1"/>
  <c r="D652" i="28"/>
  <c r="E652" i="28" l="1"/>
  <c r="D655" i="28"/>
  <c r="E655" i="28" l="1"/>
  <c r="D656" i="28"/>
  <c r="E656" i="28" l="1"/>
  <c r="D657" i="28"/>
  <c r="E657" i="28" l="1"/>
  <c r="D658" i="28"/>
  <c r="E658" i="28" l="1"/>
  <c r="D659" i="28"/>
  <c r="E659" i="28" l="1"/>
  <c r="D662" i="28"/>
  <c r="E662" i="28" l="1"/>
  <c r="D663" i="28"/>
  <c r="E663" i="28" l="1"/>
  <c r="D664" i="28"/>
  <c r="E664" i="28" l="1"/>
  <c r="D665" i="28"/>
  <c r="E665" i="28" l="1"/>
  <c r="D666" i="28"/>
  <c r="E666" i="28" l="1"/>
  <c r="D669" i="28"/>
  <c r="E669" i="28" l="1"/>
  <c r="D670" i="28"/>
  <c r="E670" i="28" l="1"/>
  <c r="D671" i="28"/>
  <c r="E671" i="28" l="1"/>
  <c r="D672" i="28"/>
  <c r="E672" i="28" l="1"/>
  <c r="D673" i="28"/>
  <c r="E673" i="28" l="1"/>
  <c r="D676" i="28"/>
  <c r="E676" i="28" l="1"/>
  <c r="D677" i="28"/>
  <c r="E677" i="28" l="1"/>
  <c r="D678" i="28"/>
  <c r="E678" i="28" l="1"/>
  <c r="D679" i="28"/>
  <c r="E679" i="28" l="1"/>
  <c r="D680" i="28"/>
  <c r="E680" i="28" l="1"/>
  <c r="D683" i="28"/>
  <c r="E683" i="28" l="1"/>
  <c r="D684" i="28"/>
  <c r="E684" i="28" l="1"/>
  <c r="D685" i="28"/>
  <c r="E685" i="28" l="1"/>
  <c r="D686" i="28"/>
  <c r="E686" i="28" l="1"/>
  <c r="D687" i="28"/>
  <c r="E687" i="28" l="1"/>
  <c r="D690" i="28"/>
  <c r="E690" i="28" l="1"/>
  <c r="D691" i="28"/>
  <c r="E691" i="28" l="1"/>
  <c r="D692" i="28"/>
  <c r="E692" i="28" l="1"/>
  <c r="D693" i="28"/>
  <c r="E693" i="28" l="1"/>
  <c r="D694" i="28"/>
  <c r="E694" i="28" l="1"/>
  <c r="D697" i="28"/>
  <c r="E697" i="28" l="1"/>
  <c r="D698" i="28"/>
  <c r="E698" i="28" l="1"/>
  <c r="D699" i="28"/>
  <c r="E699" i="28" l="1"/>
  <c r="D700" i="28"/>
  <c r="E700" i="28" l="1"/>
  <c r="D701" i="28"/>
  <c r="E701" i="28" l="1"/>
  <c r="D704" i="28"/>
  <c r="E704" i="28" l="1"/>
  <c r="D705" i="28"/>
  <c r="E705" i="28" l="1"/>
  <c r="D706" i="28"/>
  <c r="E706" i="28" l="1"/>
  <c r="D707" i="28"/>
  <c r="E707" i="28" l="1"/>
  <c r="D708" i="28"/>
  <c r="E708" i="28" l="1"/>
  <c r="K9" i="28" s="1"/>
  <c r="D711" i="28"/>
  <c r="L9" i="28" l="1"/>
  <c r="C15" i="5"/>
  <c r="D15" i="5" s="1"/>
  <c r="E711" i="28"/>
  <c r="D712" i="28"/>
  <c r="C6" i="16" l="1"/>
  <c r="C8" i="12"/>
  <c r="D8" i="12" s="1"/>
  <c r="H8" i="12" s="1"/>
  <c r="C9" i="5"/>
  <c r="D10" i="19"/>
  <c r="E10" i="19" s="1"/>
  <c r="G10" i="19" s="1"/>
  <c r="G11" i="19" s="1"/>
  <c r="E712" i="28"/>
  <c r="D713" i="28"/>
  <c r="C24" i="5" l="1"/>
  <c r="E29" i="5" s="1"/>
  <c r="C36" i="5"/>
  <c r="C29" i="5"/>
  <c r="D29" i="5" s="1"/>
  <c r="D9" i="5"/>
  <c r="H9" i="12"/>
  <c r="C7" i="16"/>
  <c r="E6" i="16"/>
  <c r="E713" i="28"/>
  <c r="D714" i="28"/>
  <c r="F29" i="5" l="1"/>
  <c r="F30" i="5" s="1"/>
  <c r="E7" i="16"/>
  <c r="C8" i="16"/>
  <c r="H10" i="12"/>
  <c r="F36" i="5"/>
  <c r="H36" i="5" s="1"/>
  <c r="H37" i="5" s="1"/>
  <c r="H38" i="5" s="1"/>
  <c r="J10" i="21" s="1"/>
  <c r="J11" i="21" s="1"/>
  <c r="K11" i="21" s="1"/>
  <c r="D36" i="5"/>
  <c r="F6" i="16"/>
  <c r="S6" i="16"/>
  <c r="E714" i="28"/>
  <c r="D715" i="28"/>
  <c r="T6" i="16" l="1"/>
  <c r="Q6" i="16"/>
  <c r="R6" i="16"/>
  <c r="P6" i="16"/>
  <c r="O6" i="16"/>
  <c r="C9" i="16"/>
  <c r="E8" i="16"/>
  <c r="F8" i="16" s="1"/>
  <c r="F7" i="16"/>
  <c r="R7" i="16"/>
  <c r="E715" i="28"/>
  <c r="D718" i="28"/>
  <c r="C10" i="16" l="1"/>
  <c r="E9" i="16"/>
  <c r="Q7" i="16"/>
  <c r="P7" i="16"/>
  <c r="T7" i="16"/>
  <c r="S7" i="16"/>
  <c r="O7" i="16"/>
  <c r="S8" i="16"/>
  <c r="R8" i="16"/>
  <c r="O8" i="16"/>
  <c r="P8" i="16"/>
  <c r="Q8" i="16"/>
  <c r="T8" i="16"/>
  <c r="E718" i="28"/>
  <c r="D719" i="28"/>
  <c r="F9" i="16" l="1"/>
  <c r="Q9" i="16"/>
  <c r="C11" i="16"/>
  <c r="E10" i="16"/>
  <c r="F10" i="16" s="1"/>
  <c r="E719" i="28"/>
  <c r="D720" i="28"/>
  <c r="C12" i="16" l="1"/>
  <c r="E11" i="16"/>
  <c r="P9" i="16"/>
  <c r="S9" i="16"/>
  <c r="O9" i="16"/>
  <c r="R9" i="16"/>
  <c r="T9" i="16"/>
  <c r="R10" i="16"/>
  <c r="S10" i="16"/>
  <c r="T10" i="16"/>
  <c r="Q10" i="16"/>
  <c r="O10" i="16"/>
  <c r="P10" i="16"/>
  <c r="E720" i="28"/>
  <c r="D721" i="28"/>
  <c r="F11" i="16" l="1"/>
  <c r="P11" i="16"/>
  <c r="C13" i="16"/>
  <c r="E12" i="16"/>
  <c r="F12" i="16" s="1"/>
  <c r="E721" i="28"/>
  <c r="D722" i="28"/>
  <c r="O11" i="16" l="1"/>
  <c r="R11" i="16"/>
  <c r="T11" i="16"/>
  <c r="Q11" i="16"/>
  <c r="S11" i="16"/>
  <c r="Q12" i="16"/>
  <c r="P12" i="16"/>
  <c r="O12" i="16"/>
  <c r="R12" i="16"/>
  <c r="S12" i="16"/>
  <c r="T12" i="16"/>
  <c r="C14" i="16"/>
  <c r="E14" i="16" s="1"/>
  <c r="E13" i="16"/>
  <c r="F13" i="16" s="1"/>
  <c r="E722" i="28"/>
  <c r="D725" i="28"/>
  <c r="O13" i="16" l="1"/>
  <c r="P13" i="16"/>
  <c r="Q13" i="16"/>
  <c r="S13" i="16"/>
  <c r="T13" i="16"/>
  <c r="R13" i="16"/>
  <c r="F14" i="16"/>
  <c r="L15" i="16" s="1"/>
  <c r="O14" i="16"/>
  <c r="J24" i="16" s="1"/>
  <c r="E725" i="28"/>
  <c r="D726" i="28"/>
  <c r="L16" i="16" l="1"/>
  <c r="L17" i="16" s="1"/>
  <c r="F27" i="16" s="1"/>
  <c r="D27" i="16"/>
  <c r="H27" i="16"/>
  <c r="R14" i="16"/>
  <c r="P14" i="16"/>
  <c r="S14" i="16"/>
  <c r="Q14" i="16"/>
  <c r="T14" i="16"/>
  <c r="K15" i="16"/>
  <c r="I15" i="16"/>
  <c r="G15" i="16"/>
  <c r="J27" i="16"/>
  <c r="J23" i="16"/>
  <c r="J25" i="16"/>
  <c r="H15" i="16"/>
  <c r="J15" i="16"/>
  <c r="J26" i="16"/>
  <c r="J22" i="16"/>
  <c r="E726" i="28"/>
  <c r="D727" i="28"/>
  <c r="G16" i="16" l="1"/>
  <c r="G17" i="16" s="1"/>
  <c r="F22" i="16" s="1"/>
  <c r="D22" i="16"/>
  <c r="H22" i="16"/>
  <c r="D24" i="16"/>
  <c r="I16" i="16"/>
  <c r="I17" i="16" s="1"/>
  <c r="F24" i="16" s="1"/>
  <c r="L25" i="16"/>
  <c r="L27" i="16"/>
  <c r="L26" i="16"/>
  <c r="L24" i="16"/>
  <c r="L22" i="16"/>
  <c r="L23" i="16"/>
  <c r="K23" i="16"/>
  <c r="K25" i="16"/>
  <c r="K27" i="16"/>
  <c r="K26" i="16"/>
  <c r="K22" i="16"/>
  <c r="K24" i="16"/>
  <c r="M22" i="16"/>
  <c r="M23" i="16"/>
  <c r="M25" i="16"/>
  <c r="M24" i="16"/>
  <c r="M27" i="16"/>
  <c r="M26" i="16"/>
  <c r="N22" i="16"/>
  <c r="N27" i="16"/>
  <c r="N26" i="16"/>
  <c r="N24" i="16"/>
  <c r="N23" i="16"/>
  <c r="N25" i="16"/>
  <c r="D26" i="16"/>
  <c r="K16" i="16"/>
  <c r="K17" i="16" s="1"/>
  <c r="F26" i="16" s="1"/>
  <c r="O27" i="16"/>
  <c r="O22" i="16"/>
  <c r="O23" i="16"/>
  <c r="O24" i="16"/>
  <c r="O26" i="16"/>
  <c r="O25" i="16"/>
  <c r="J16" i="16"/>
  <c r="J17" i="16" s="1"/>
  <c r="F25" i="16" s="1"/>
  <c r="D25" i="16"/>
  <c r="D23" i="16"/>
  <c r="H16" i="16"/>
  <c r="H17" i="16" s="1"/>
  <c r="F23" i="16" s="1"/>
  <c r="E727" i="28"/>
  <c r="D728" i="28"/>
  <c r="H23" i="16" l="1"/>
  <c r="H24" i="16"/>
  <c r="H25" i="16"/>
  <c r="H26" i="16"/>
  <c r="D28" i="16"/>
  <c r="E728" i="28"/>
  <c r="D729" i="28"/>
  <c r="J28" i="16" l="1"/>
  <c r="O28" i="16"/>
  <c r="N28" i="16"/>
  <c r="M28" i="16"/>
  <c r="L28" i="16"/>
  <c r="K28" i="16"/>
  <c r="H28" i="16"/>
  <c r="E729" i="28"/>
  <c r="D732" i="28"/>
  <c r="E732" i="28" l="1"/>
  <c r="D733" i="28"/>
  <c r="E733" i="28" l="1"/>
  <c r="D734" i="28"/>
  <c r="E734" i="28" s="1"/>
  <c r="C5" i="15" l="1"/>
  <c r="F14" i="5" l="1"/>
  <c r="F15" i="5"/>
  <c r="F5" i="15"/>
  <c r="I12" i="15"/>
  <c r="F16" i="5" l="1"/>
  <c r="K12" i="15"/>
  <c r="J12" i="15"/>
  <c r="G24" i="15"/>
  <c r="G16" i="5" l="1"/>
  <c r="F17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K2" authorId="0" shapeId="0" xr:uid="{B5FD9640-58E9-4FCD-A324-6D6733BFC9E4}">
      <text>
        <r>
          <rPr>
            <b/>
            <sz val="9"/>
            <color indexed="81"/>
            <rFont val="Tahoma"/>
            <family val="2"/>
          </rPr>
          <t>negraham:</t>
        </r>
        <r>
          <rPr>
            <sz val="9"/>
            <color indexed="81"/>
            <rFont val="Tahoma"/>
            <family val="2"/>
          </rPr>
          <t xml:space="preserve">
These are annual rates with one cash flow at the end comprising principal and interest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E34" authorId="0" shapeId="0" xr:uid="{10D67E65-E092-4A2D-9753-093539F0CC6F}">
      <text>
        <r>
          <rPr>
            <b/>
            <sz val="11"/>
            <color indexed="81"/>
            <rFont val="Tahoma"/>
            <family val="2"/>
          </rPr>
          <t>negraham:</t>
        </r>
        <r>
          <rPr>
            <sz val="11"/>
            <color indexed="81"/>
            <rFont val="Tahoma"/>
            <family val="2"/>
          </rPr>
          <t xml:space="preserve">
The OIS rate is this many bps 'above' the treasury yield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D4" authorId="0" shapeId="0" xr:uid="{F5515229-D789-4CC1-BBA1-A6A14EC1FF48}">
      <text>
        <r>
          <rPr>
            <b/>
            <sz val="9"/>
            <color indexed="81"/>
            <rFont val="Tahoma"/>
            <family val="2"/>
          </rPr>
          <t xml:space="preserve">negraham:
</t>
        </r>
        <r>
          <rPr>
            <sz val="9"/>
            <color indexed="81"/>
            <rFont val="Tahoma"/>
            <family val="2"/>
          </rPr>
          <t xml:space="preserve">
This accounts for the difference in credit risk between an OIS and a US treasury security.
With an OIS there's no principle at risk.  This means that long dated treasurues start to exhibit MORE credit risk than an OIS for the same period.</t>
        </r>
      </text>
    </comment>
    <comment ref="C7" authorId="0" shapeId="0" xr:uid="{10DD8045-B726-49A4-9576-02246C5D430E}">
      <text>
        <r>
          <rPr>
            <b/>
            <sz val="9"/>
            <color indexed="81"/>
            <rFont val="Tahoma"/>
            <family val="2"/>
          </rPr>
          <t>negraham:</t>
        </r>
        <r>
          <rPr>
            <sz val="9"/>
            <color indexed="81"/>
            <rFont val="Tahoma"/>
            <family val="2"/>
          </rPr>
          <t xml:space="preserve">
These rates are made up for illustration purposes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F6" authorId="0" shapeId="0" xr:uid="{C8A8093A-3642-4CDB-9569-55C659C748C2}">
      <text>
        <r>
          <rPr>
            <b/>
            <sz val="9"/>
            <color indexed="81"/>
            <rFont val="Tahoma"/>
            <family val="2"/>
          </rPr>
          <t>negraham:</t>
        </r>
        <r>
          <rPr>
            <sz val="9"/>
            <color indexed="81"/>
            <rFont val="Tahoma"/>
            <family val="2"/>
          </rPr>
          <t xml:space="preserve">
Use goal seek</t>
        </r>
      </text>
    </comment>
    <comment ref="F20" authorId="0" shapeId="0" xr:uid="{A9557016-97C7-4A5F-9CC7-DFEF9782AE44}">
      <text>
        <r>
          <rPr>
            <b/>
            <sz val="11"/>
            <color indexed="81"/>
            <rFont val="Tahoma"/>
            <family val="2"/>
          </rPr>
          <t>negraham:</t>
        </r>
        <r>
          <rPr>
            <sz val="11"/>
            <color indexed="81"/>
            <rFont val="Tahoma"/>
            <family val="2"/>
          </rPr>
          <t xml:space="preserve">
This is the adjustment from the bond's value to par</t>
        </r>
      </text>
    </comment>
    <comment ref="C22" authorId="0" shapeId="0" xr:uid="{9B13C002-13CE-467E-95DB-D1B4418C3449}">
      <text>
        <r>
          <rPr>
            <b/>
            <sz val="9"/>
            <color indexed="81"/>
            <rFont val="Tahoma"/>
            <family val="2"/>
          </rPr>
          <t>negraham:</t>
        </r>
        <r>
          <rPr>
            <sz val="9"/>
            <color indexed="81"/>
            <rFont val="Tahoma"/>
            <family val="2"/>
          </rPr>
          <t xml:space="preserve">
1</t>
        </r>
      </text>
    </comment>
    <comment ref="D22" authorId="0" shapeId="0" xr:uid="{EA8F9F05-0D3C-4094-BD0F-67891C1C61C6}">
      <text>
        <r>
          <rPr>
            <b/>
            <sz val="9"/>
            <color indexed="81"/>
            <rFont val="Tahoma"/>
            <family val="2"/>
          </rPr>
          <t>negraham:</t>
        </r>
        <r>
          <rPr>
            <sz val="9"/>
            <color indexed="81"/>
            <rFont val="Tahoma"/>
            <family val="2"/>
          </rPr>
          <t xml:space="preserve">
2</t>
        </r>
      </text>
    </comment>
    <comment ref="F22" authorId="0" shapeId="0" xr:uid="{CE50B172-B9FF-4964-AC83-6A4955992CB5}">
      <text>
        <r>
          <rPr>
            <b/>
            <sz val="11"/>
            <color indexed="81"/>
            <rFont val="Tahoma"/>
            <family val="2"/>
          </rPr>
          <t>negraham:</t>
        </r>
        <r>
          <rPr>
            <sz val="11"/>
            <color indexed="81"/>
            <rFont val="Tahoma"/>
            <family val="2"/>
          </rPr>
          <t xml:space="preserve">
3
Code in  (Fwd +ASW) * DF</t>
        </r>
      </text>
    </comment>
    <comment ref="E23" authorId="0" shapeId="0" xr:uid="{A35CD475-1AC0-4C70-BB7D-EC70E717B696}">
      <text>
        <r>
          <rPr>
            <b/>
            <sz val="12"/>
            <color indexed="81"/>
            <rFont val="Tahoma"/>
            <family val="2"/>
          </rPr>
          <t>negraham:</t>
        </r>
        <r>
          <rPr>
            <sz val="12"/>
            <color indexed="81"/>
            <rFont val="Tahoma"/>
            <family val="2"/>
          </rPr>
          <t xml:space="preserve">
4.  Use goal seek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F43" authorId="0" shapeId="0" xr:uid="{AAA9B15D-02FA-4B43-98AF-A285A65212C3}">
      <text>
        <r>
          <rPr>
            <b/>
            <sz val="12"/>
            <color indexed="81"/>
            <rFont val="Tahoma"/>
            <family val="2"/>
          </rPr>
          <t>negraham:</t>
        </r>
        <r>
          <rPr>
            <sz val="12"/>
            <color indexed="81"/>
            <rFont val="Tahoma"/>
            <family val="2"/>
          </rPr>
          <t xml:space="preserve">
This is the element of the YTM which seems due to the call option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negraham</author>
  </authors>
  <commentList>
    <comment ref="F22" authorId="0" shapeId="0" xr:uid="{20B11A4A-BC55-4AF1-B290-1D5A1066F231}">
      <text>
        <r>
          <rPr>
            <b/>
            <sz val="14"/>
            <color indexed="81"/>
            <rFont val="Tahoma"/>
            <family val="2"/>
          </rPr>
          <t>negraham:</t>
        </r>
        <r>
          <rPr>
            <sz val="14"/>
            <color indexed="81"/>
            <rFont val="Tahoma"/>
            <family val="2"/>
          </rPr>
          <t xml:space="preserve">
revalue bond as at start but with 1-year to maturity</t>
        </r>
      </text>
    </comment>
    <comment ref="F23" authorId="0" shapeId="0" xr:uid="{EEF5E085-1909-4EB5-B474-AF2487430C2A}">
      <text>
        <r>
          <rPr>
            <b/>
            <sz val="12"/>
            <color indexed="81"/>
            <rFont val="Tahoma"/>
            <family val="2"/>
          </rPr>
          <t>negraham:</t>
        </r>
        <r>
          <rPr>
            <sz val="12"/>
            <color indexed="81"/>
            <rFont val="Tahoma"/>
            <family val="2"/>
          </rPr>
          <t xml:space="preserve">
Simply the PnL due to pull to par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Richard Smith</author>
  </authors>
  <commentList>
    <comment ref="B21" authorId="0" shapeId="0" xr:uid="{122FBCCB-BDF2-4230-9759-461D18BE0998}">
      <text>
        <r>
          <rPr>
            <b/>
            <sz val="9"/>
            <color indexed="81"/>
            <rFont val="Tahoma"/>
            <family val="2"/>
          </rPr>
          <t>Richard Smith:</t>
        </r>
        <r>
          <rPr>
            <sz val="9"/>
            <color indexed="81"/>
            <rFont val="Tahoma"/>
            <family val="2"/>
          </rPr>
          <t xml:space="preserve">
P/L for $100 nominal given a 1bp increase in bond yield</t>
        </r>
      </text>
    </comment>
    <comment ref="B30" authorId="0" shapeId="0" xr:uid="{E60A894A-DB78-4286-90C6-D4C45C99097C}">
      <text>
        <r>
          <rPr>
            <b/>
            <sz val="9"/>
            <color indexed="81"/>
            <rFont val="Tahoma"/>
            <family val="2"/>
          </rPr>
          <t>Richard Smith:</t>
        </r>
        <r>
          <rPr>
            <sz val="9"/>
            <color indexed="81"/>
            <rFont val="Tahoma"/>
            <family val="2"/>
          </rPr>
          <t xml:space="preserve">
Easier to use in formulae</t>
        </r>
      </text>
    </comment>
    <comment ref="B64" authorId="0" shapeId="0" xr:uid="{AD6284EF-8CC1-45A2-8697-B921B9D5D0FE}">
      <text>
        <r>
          <rPr>
            <b/>
            <sz val="9"/>
            <color indexed="81"/>
            <rFont val="Tahoma"/>
            <family val="2"/>
          </rPr>
          <t>Richard Smith:</t>
        </r>
        <r>
          <rPr>
            <sz val="9"/>
            <color indexed="81"/>
            <rFont val="Tahoma"/>
            <family val="2"/>
          </rPr>
          <t xml:space="preserve">
Assuming Haircut = 0</t>
        </r>
      </text>
    </comment>
    <comment ref="B68" authorId="0" shapeId="0" xr:uid="{98ECB583-1ABC-4851-81FC-D09F528E2EF5}">
      <text>
        <r>
          <rPr>
            <b/>
            <sz val="9"/>
            <color indexed="81"/>
            <rFont val="Tahoma"/>
            <family val="2"/>
          </rPr>
          <t>Richard Smith:</t>
        </r>
        <r>
          <rPr>
            <sz val="9"/>
            <color indexed="81"/>
            <rFont val="Tahoma"/>
            <family val="2"/>
          </rPr>
          <t xml:space="preserve">
Interpolation based upon the current shape of the curve (aside from the 2 year which has to be extrapolated)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<sst xmlns="http://schemas.openxmlformats.org/spreadsheetml/2006/main" count="671" uniqueCount="385">
  <si>
    <t>Compounding</t>
  </si>
  <si>
    <t>Money market</t>
  </si>
  <si>
    <t>PV</t>
  </si>
  <si>
    <t>rate (% p.a.)</t>
  </si>
  <si>
    <t>Term (days)</t>
  </si>
  <si>
    <t>Basis</t>
  </si>
  <si>
    <t>Compound factors</t>
  </si>
  <si>
    <t>FV</t>
  </si>
  <si>
    <t>&gt; 12m</t>
  </si>
  <si>
    <t>Term (years)</t>
  </si>
  <si>
    <t>Long-hand</t>
  </si>
  <si>
    <t>N/A</t>
  </si>
  <si>
    <r>
      <t xml:space="preserve">Excel TVM </t>
    </r>
    <r>
      <rPr>
        <b/>
        <sz val="22"/>
        <color rgb="FFC00000"/>
        <rFont val="Calibri"/>
        <family val="2"/>
        <scheme val="minor"/>
      </rPr>
      <t>=FV(..,..,..,)</t>
    </r>
    <r>
      <rPr>
        <sz val="22"/>
        <color theme="1"/>
        <rFont val="Calibri"/>
        <family val="2"/>
        <scheme val="minor"/>
      </rPr>
      <t xml:space="preserve"> function</t>
    </r>
  </si>
  <si>
    <t>Discounting</t>
  </si>
  <si>
    <t>Discount Factor</t>
  </si>
  <si>
    <t>This is the GBP equivalent rate.  Notice the identical discount factors.</t>
  </si>
  <si>
    <r>
      <t xml:space="preserve">Excel TVM </t>
    </r>
    <r>
      <rPr>
        <b/>
        <sz val="22"/>
        <color rgb="FFC00000"/>
        <rFont val="Calibri"/>
        <family val="2"/>
        <scheme val="minor"/>
      </rPr>
      <t>=PV(..,..,..,)</t>
    </r>
    <r>
      <rPr>
        <sz val="22"/>
        <color theme="1"/>
        <rFont val="Calibri"/>
        <family val="2"/>
        <scheme val="minor"/>
      </rPr>
      <t xml:space="preserve"> function</t>
    </r>
  </si>
  <si>
    <t>Sources</t>
  </si>
  <si>
    <t>https://www.cmegroup.com/markets/interest-rates/cme-fedwatch-tool.html</t>
  </si>
  <si>
    <t>FOMC date</t>
  </si>
  <si>
    <t>Your expectations FDTR(u) here</t>
  </si>
  <si>
    <t>Today</t>
  </si>
  <si>
    <t>Fedwatch tool</t>
  </si>
  <si>
    <t>SoEPs</t>
  </si>
  <si>
    <t>https://www.federalreserve.gov/monetarypolicy/fomccalendars.htm</t>
  </si>
  <si>
    <r>
      <t xml:space="preserve">Quoting a </t>
    </r>
    <r>
      <rPr>
        <b/>
        <sz val="22"/>
        <color rgb="FFC00000"/>
        <rFont val="Calibri"/>
        <family val="2"/>
        <scheme val="minor"/>
      </rPr>
      <t>1 week term rate</t>
    </r>
    <r>
      <rPr>
        <sz val="22"/>
        <color theme="1"/>
        <rFont val="Calibri"/>
        <family val="2"/>
        <scheme val="minor"/>
      </rPr>
      <t xml:space="preserve"> based on your expectations</t>
    </r>
  </si>
  <si>
    <t>What are your expectations for EFFR for the next week (i.e. FDTR upper - 0.17bps)?</t>
  </si>
  <si>
    <t>FDTR Upper / IORB spread</t>
  </si>
  <si>
    <t>Our expectations</t>
  </si>
  <si>
    <t xml:space="preserve">1 compounded overnight </t>
  </si>
  <si>
    <t>Monday</t>
  </si>
  <si>
    <t>Tuesday</t>
  </si>
  <si>
    <t>Wednesday</t>
  </si>
  <si>
    <t>Thursday</t>
  </si>
  <si>
    <t>Friday</t>
  </si>
  <si>
    <t>Saturday</t>
  </si>
  <si>
    <t>Sunday</t>
  </si>
  <si>
    <t>(the 1 week compound factor at these indvidual daily rates)</t>
  </si>
  <si>
    <t>Our 1 week rate</t>
  </si>
  <si>
    <r>
      <t xml:space="preserve">Quoting a </t>
    </r>
    <r>
      <rPr>
        <b/>
        <sz val="22"/>
        <color rgb="FFC00000"/>
        <rFont val="Calibri"/>
        <family val="2"/>
        <scheme val="minor"/>
      </rPr>
      <t>1 month term rate</t>
    </r>
    <r>
      <rPr>
        <sz val="22"/>
        <color theme="1"/>
        <rFont val="Calibri"/>
        <family val="2"/>
        <scheme val="minor"/>
      </rPr>
      <t xml:space="preserve"> based on your expectations</t>
    </r>
  </si>
  <si>
    <t>Day</t>
  </si>
  <si>
    <t>Date</t>
  </si>
  <si>
    <t>Our expected rate (incl spread)</t>
  </si>
  <si>
    <t>No days in 3-month period</t>
  </si>
  <si>
    <t>Our 3-month rate</t>
  </si>
  <si>
    <t>Zero coupon rates</t>
  </si>
  <si>
    <t>1 compounded overnight (CF)</t>
  </si>
  <si>
    <t>Term rates</t>
  </si>
  <si>
    <t>Period</t>
  </si>
  <si>
    <t>Weekday (1=Mon)</t>
  </si>
  <si>
    <t>No.days</t>
  </si>
  <si>
    <t xml:space="preserve">Your term structure </t>
  </si>
  <si>
    <t>Consensus from room</t>
  </si>
  <si>
    <t>Actual</t>
  </si>
  <si>
    <t>Rate period</t>
  </si>
  <si>
    <t>Expected FFDR UR</t>
  </si>
  <si>
    <t>1-week</t>
  </si>
  <si>
    <t>1-month</t>
  </si>
  <si>
    <t>3-month</t>
  </si>
  <si>
    <t>6-month</t>
  </si>
  <si>
    <t>12-month</t>
  </si>
  <si>
    <t>2-year</t>
  </si>
  <si>
    <r>
      <t xml:space="preserve">The fair value of an OIS (i.e. the </t>
    </r>
    <r>
      <rPr>
        <b/>
        <sz val="22"/>
        <color theme="1"/>
        <rFont val="Calibri"/>
        <family val="2"/>
        <scheme val="minor"/>
      </rPr>
      <t>par swap rate</t>
    </r>
    <r>
      <rPr>
        <sz val="22"/>
        <color theme="1"/>
        <rFont val="Calibri"/>
        <family val="2"/>
        <scheme val="minor"/>
      </rPr>
      <t>) is the compounded effect of all the expected OIRs..</t>
    </r>
  </si>
  <si>
    <t>1-week OIS fair value</t>
  </si>
  <si>
    <t>Exp EFFR print</t>
  </si>
  <si>
    <t>Compound factor</t>
  </si>
  <si>
    <t>FV swap rate (% p.a.)</t>
  </si>
  <si>
    <r>
      <rPr>
        <b/>
        <i/>
        <sz val="22"/>
        <color rgb="FFC00000"/>
        <rFont val="Calibri"/>
        <family val="2"/>
        <scheme val="minor"/>
      </rPr>
      <t>Your</t>
    </r>
    <r>
      <rPr>
        <b/>
        <sz val="22"/>
        <color theme="1"/>
        <rFont val="Calibri"/>
        <family val="2"/>
        <scheme val="minor"/>
      </rPr>
      <t xml:space="preserve"> 3-month EFFR-based OIS fair value [par] swap rate</t>
    </r>
  </si>
  <si>
    <t>Exp OIR print</t>
  </si>
  <si>
    <t>We use zero rates to value bonds</t>
  </si>
  <si>
    <t>Vanilla bond</t>
  </si>
  <si>
    <t>2-year Bond</t>
  </si>
  <si>
    <t>CPN</t>
  </si>
  <si>
    <t>(ann)</t>
  </si>
  <si>
    <t>Nominal</t>
  </si>
  <si>
    <t>Term (yrs)</t>
  </si>
  <si>
    <t>Consensus Zeros</t>
  </si>
  <si>
    <t>Z-DF</t>
  </si>
  <si>
    <t>CF</t>
  </si>
  <si>
    <t>PV CF Z-DFs</t>
  </si>
  <si>
    <t>PV CF YTM</t>
  </si>
  <si>
    <t>Val</t>
  </si>
  <si>
    <t>YTM</t>
  </si>
  <si>
    <t>The uniform discount rate for all periods and CFs which gives the same PV (IRR, if you like).</t>
  </si>
  <si>
    <r>
      <rPr>
        <b/>
        <i/>
        <sz val="22"/>
        <color rgb="FFC00000"/>
        <rFont val="Calibri"/>
        <family val="2"/>
        <scheme val="minor"/>
      </rPr>
      <t xml:space="preserve">Your </t>
    </r>
    <r>
      <rPr>
        <b/>
        <sz val="22"/>
        <color theme="1"/>
        <rFont val="Calibri"/>
        <family val="2"/>
        <scheme val="minor"/>
      </rPr>
      <t>Zeros</t>
    </r>
  </si>
  <si>
    <t>FRN</t>
  </si>
  <si>
    <t>…if the bond had a floating coupon (linked to EFFR and no margin)...</t>
  </si>
  <si>
    <t>1 year rates</t>
  </si>
  <si>
    <t>0s 12s</t>
  </si>
  <si>
    <t>12s 24s</t>
  </si>
  <si>
    <t>Zero</t>
  </si>
  <si>
    <t>Treasury</t>
  </si>
  <si>
    <r>
      <t xml:space="preserve">… and, if the bond was a </t>
    </r>
    <r>
      <rPr>
        <b/>
        <sz val="22"/>
        <color theme="1"/>
        <rFont val="Calibri"/>
        <family val="2"/>
        <scheme val="minor"/>
      </rPr>
      <t>treasury bond</t>
    </r>
    <r>
      <rPr>
        <sz val="22"/>
        <color theme="1"/>
        <rFont val="Calibri"/>
        <family val="2"/>
        <scheme val="minor"/>
      </rPr>
      <t xml:space="preserve"> we'd need to apply the spread between the OIR-based zero term structure and one appropriate for treasuries, a.k.a. </t>
    </r>
    <r>
      <rPr>
        <b/>
        <sz val="22"/>
        <color theme="1"/>
        <rFont val="Calibri"/>
        <family val="2"/>
        <scheme val="minor"/>
      </rPr>
      <t>swap spread (calc as OIS - Treas YTM).</t>
    </r>
    <r>
      <rPr>
        <sz val="22"/>
        <color theme="1"/>
        <rFont val="Calibri"/>
        <family val="2"/>
        <scheme val="minor"/>
      </rPr>
      <t>..</t>
    </r>
  </si>
  <si>
    <t>Tr vs OIS Spread</t>
  </si>
  <si>
    <t>Tr Zero DF</t>
  </si>
  <si>
    <t>PV CF Tr-Z-DFs</t>
  </si>
  <si>
    <t>We are now valuing the 2-year bond three months later: it has 1.75 years remaining</t>
  </si>
  <si>
    <r>
      <t>We are going to assume that the</t>
    </r>
    <r>
      <rPr>
        <b/>
        <sz val="22"/>
        <color theme="1"/>
        <rFont val="Calibri"/>
        <family val="2"/>
        <scheme val="minor"/>
      </rPr>
      <t xml:space="preserve"> term structure</t>
    </r>
    <r>
      <rPr>
        <sz val="22"/>
        <color theme="1"/>
        <rFont val="Calibri"/>
        <family val="2"/>
        <scheme val="minor"/>
      </rPr>
      <t xml:space="preserve"> </t>
    </r>
    <r>
      <rPr>
        <b/>
        <sz val="22"/>
        <color theme="1"/>
        <rFont val="Calibri"/>
        <family val="2"/>
        <scheme val="minor"/>
      </rPr>
      <t>hasn't changed</t>
    </r>
    <r>
      <rPr>
        <sz val="22"/>
        <color theme="1"/>
        <rFont val="Calibri"/>
        <family val="2"/>
        <scheme val="minor"/>
      </rPr>
      <t xml:space="preserve"> (unlikely).  </t>
    </r>
  </si>
  <si>
    <t>We also need to interpolate the 1.75-year rate</t>
  </si>
  <si>
    <t>Coupon</t>
  </si>
  <si>
    <t>DF</t>
  </si>
  <si>
    <t>PV CF</t>
  </si>
  <si>
    <t>previously 1-year, now 0.75-year</t>
  </si>
  <si>
    <t>previously 2-year, now 1.75-year</t>
  </si>
  <si>
    <t>Dirty</t>
  </si>
  <si>
    <t>The PV of all future cash flows</t>
  </si>
  <si>
    <t>Accrued convention</t>
  </si>
  <si>
    <t>ACT/ACT</t>
  </si>
  <si>
    <t>30/360A</t>
  </si>
  <si>
    <r>
      <t xml:space="preserve">Coupon payment datesare 4 January each year, the </t>
    </r>
    <r>
      <rPr>
        <b/>
        <sz val="22"/>
        <color theme="1"/>
        <rFont val="Calibri"/>
        <family val="2"/>
        <scheme val="minor"/>
      </rPr>
      <t>last</t>
    </r>
    <r>
      <rPr>
        <sz val="22"/>
        <color theme="1"/>
        <rFont val="Calibri"/>
        <family val="2"/>
        <scheme val="minor"/>
      </rPr>
      <t xml:space="preserve"> </t>
    </r>
    <r>
      <rPr>
        <b/>
        <sz val="22"/>
        <color theme="1"/>
        <rFont val="Calibri"/>
        <family val="2"/>
        <scheme val="minor"/>
      </rPr>
      <t>coupon date</t>
    </r>
    <r>
      <rPr>
        <sz val="22"/>
        <color theme="1"/>
        <rFont val="Calibri"/>
        <family val="2"/>
        <scheme val="minor"/>
      </rPr>
      <t xml:space="preserve"> would be</t>
    </r>
  </si>
  <si>
    <r>
      <t xml:space="preserve">The bond is being valued 3 months later - the </t>
    </r>
    <r>
      <rPr>
        <b/>
        <sz val="22"/>
        <color theme="1"/>
        <rFont val="Calibri"/>
        <family val="2"/>
        <scheme val="minor"/>
      </rPr>
      <t>settlement date</t>
    </r>
  </si>
  <si>
    <t>The next coupon payment date will be</t>
  </si>
  <si>
    <t>no. days since last coupon</t>
  </si>
  <si>
    <t>no. days in coupon period</t>
  </si>
  <si>
    <t>Accrued fraction of current coupon period</t>
  </si>
  <si>
    <t>Accrued coupon (ACT/ACT)</t>
  </si>
  <si>
    <t>Accrued</t>
  </si>
  <si>
    <t>Clean</t>
  </si>
  <si>
    <r>
      <t xml:space="preserve">The PV of all future CFs </t>
    </r>
    <r>
      <rPr>
        <i/>
        <sz val="22"/>
        <color theme="1"/>
        <rFont val="Calibri"/>
        <family val="2"/>
        <scheme val="minor"/>
      </rPr>
      <t>less the coupon accrued to the seller</t>
    </r>
    <r>
      <rPr>
        <sz val="22"/>
        <color theme="1"/>
        <rFont val="Calibri"/>
        <family val="2"/>
        <scheme val="minor"/>
      </rPr>
      <t>.</t>
    </r>
  </si>
  <si>
    <t>Time</t>
  </si>
  <si>
    <t>Accrued fraction</t>
  </si>
  <si>
    <t>Gross / Dirty Price</t>
  </si>
  <si>
    <t xml:space="preserve">Interest rate risk </t>
  </si>
  <si>
    <t>PV CF Tr DFs</t>
  </si>
  <si>
    <t>Weight of PV CF</t>
  </si>
  <si>
    <t>WPVCF * Time</t>
  </si>
  <si>
    <t>Mac Dur</t>
  </si>
  <si>
    <r>
      <t xml:space="preserve">years,; the coupon-yield-adjusted </t>
    </r>
    <r>
      <rPr>
        <b/>
        <sz val="22"/>
        <color theme="1"/>
        <rFont val="Calibri"/>
        <family val="2"/>
        <scheme val="minor"/>
      </rPr>
      <t>maturity</t>
    </r>
  </si>
  <si>
    <t>Mod Dur</t>
  </si>
  <si>
    <r>
      <t xml:space="preserve">The </t>
    </r>
    <r>
      <rPr>
        <b/>
        <sz val="22"/>
        <color theme="1"/>
        <rFont val="Calibri"/>
        <family val="2"/>
        <scheme val="minor"/>
      </rPr>
      <t>approximate % change</t>
    </r>
    <r>
      <rPr>
        <sz val="22"/>
        <color theme="1"/>
        <rFont val="Calibri"/>
        <family val="2"/>
        <scheme val="minor"/>
      </rPr>
      <t xml:space="preserve"> in price for a 1% change in YTM</t>
    </r>
  </si>
  <si>
    <t>Risk</t>
  </si>
  <si>
    <r>
      <t xml:space="preserve">The approximate </t>
    </r>
    <r>
      <rPr>
        <b/>
        <sz val="22"/>
        <color theme="1"/>
        <rFont val="Calibri"/>
        <family val="2"/>
        <scheme val="minor"/>
      </rPr>
      <t>change in price</t>
    </r>
    <r>
      <rPr>
        <sz val="22"/>
        <color theme="1"/>
        <rFont val="Calibri"/>
        <family val="2"/>
        <scheme val="minor"/>
      </rPr>
      <t xml:space="preserve"> for a 1% change in YTM</t>
    </r>
  </si>
  <si>
    <t>DV01</t>
  </si>
  <si>
    <r>
      <t xml:space="preserve">The change in price of </t>
    </r>
    <r>
      <rPr>
        <sz val="22"/>
        <color rgb="FFC00000"/>
        <rFont val="Calibri"/>
        <family val="2"/>
        <scheme val="minor"/>
      </rPr>
      <t>100 nominal</t>
    </r>
    <r>
      <rPr>
        <sz val="22"/>
        <color theme="1"/>
        <rFont val="Calibri"/>
        <family val="2"/>
        <scheme val="minor"/>
      </rPr>
      <t xml:space="preserve"> for a 0.01% change in YTM</t>
    </r>
  </si>
  <si>
    <t>DV01 of 15m nom</t>
  </si>
  <si>
    <t>Mat</t>
  </si>
  <si>
    <t>Yield</t>
  </si>
  <si>
    <t>Val at Mat</t>
  </si>
  <si>
    <t>Tenor</t>
  </si>
  <si>
    <t>Observed</t>
  </si>
  <si>
    <t>DFs with Key Rate bumped up 1 bp</t>
  </si>
  <si>
    <t xml:space="preserve">Market consensus zero rates </t>
  </si>
  <si>
    <t>OIS - Treas YTM Spread</t>
  </si>
  <si>
    <t>RF Zero</t>
  </si>
  <si>
    <t>RF Discount factor</t>
  </si>
  <si>
    <t>Cash flows</t>
  </si>
  <si>
    <t>Value</t>
  </si>
  <si>
    <t>Yield to maturity</t>
  </si>
  <si>
    <t>Portfolio Value</t>
  </si>
  <si>
    <r>
      <t xml:space="preserve">Which </t>
    </r>
    <r>
      <rPr>
        <i/>
        <sz val="20"/>
        <color theme="1"/>
        <rFont val="Calibri"/>
        <family val="2"/>
        <scheme val="minor"/>
      </rPr>
      <t>particular</t>
    </r>
    <r>
      <rPr>
        <sz val="20"/>
        <color theme="1"/>
        <rFont val="Calibri"/>
        <family val="2"/>
        <scheme val="minor"/>
      </rPr>
      <t xml:space="preserve"> zero rate is the portfolio most senitive to?</t>
    </r>
  </si>
  <si>
    <t>Maturity</t>
  </si>
  <si>
    <t>Nom val held</t>
  </si>
  <si>
    <t>Curr value</t>
  </si>
  <si>
    <t>Weighting</t>
  </si>
  <si>
    <t>PV01 / 100 nom</t>
  </si>
  <si>
    <t>Weighted PV01 / 100 nom</t>
  </si>
  <si>
    <r>
      <t xml:space="preserve">New value after +1bp </t>
    </r>
    <r>
      <rPr>
        <b/>
        <sz val="20"/>
        <color rgb="FFFF0000"/>
        <rFont val="Calibri"/>
        <family val="2"/>
        <scheme val="minor"/>
      </rPr>
      <t>ALL Zeros rise by 1bp</t>
    </r>
  </si>
  <si>
    <r>
      <t xml:space="preserve">10y key rate PV01 </t>
    </r>
    <r>
      <rPr>
        <b/>
        <sz val="20"/>
        <color rgb="FFFF0000"/>
        <rFont val="Calibri"/>
        <family val="2"/>
        <scheme val="minor"/>
      </rPr>
      <t>ONLY 10y zero rises by 1bp</t>
    </r>
  </si>
  <si>
    <t>7y key rate PV01</t>
  </si>
  <si>
    <t>5y key rate PV01</t>
  </si>
  <si>
    <t>3y key rate PV01</t>
  </si>
  <si>
    <t>2y key rate PV01</t>
  </si>
  <si>
    <t>1y key rate PV01</t>
  </si>
  <si>
    <t>Totals</t>
  </si>
  <si>
    <r>
      <rPr>
        <b/>
        <i/>
        <sz val="20"/>
        <color rgb="FFFF0000"/>
        <rFont val="Calibri"/>
        <family val="2"/>
        <scheme val="minor"/>
      </rPr>
      <t>Portfolio</t>
    </r>
    <r>
      <rPr>
        <b/>
        <sz val="20"/>
        <color theme="1"/>
        <rFont val="Calibri"/>
        <family val="2"/>
        <scheme val="minor"/>
      </rPr>
      <t xml:space="preserve"> PV01</t>
    </r>
  </si>
  <si>
    <r>
      <rPr>
        <b/>
        <i/>
        <sz val="20"/>
        <color rgb="FFFF0000"/>
        <rFont val="Calibri"/>
        <family val="2"/>
        <scheme val="minor"/>
      </rPr>
      <t>Key rate</t>
    </r>
    <r>
      <rPr>
        <b/>
        <sz val="20"/>
        <color theme="1"/>
        <rFont val="Calibri"/>
        <family val="2"/>
        <scheme val="minor"/>
      </rPr>
      <t xml:space="preserve"> PV01</t>
    </r>
  </si>
  <si>
    <t>A 2-year 4.10% ann coupon A+ corporate bond is trading at YTM 4.10% p.a.</t>
  </si>
  <si>
    <t>A+ Bond</t>
  </si>
  <si>
    <t>Zero rates</t>
  </si>
  <si>
    <t>Zero DF</t>
  </si>
  <si>
    <t>Forward rates</t>
  </si>
  <si>
    <t>Z-Spread</t>
  </si>
  <si>
    <t>Risky zero</t>
  </si>
  <si>
    <t>Risky DF</t>
  </si>
  <si>
    <t>PC CF Zero + Z</t>
  </si>
  <si>
    <t>Val(Dirty)</t>
  </si>
  <si>
    <t>Treas yield</t>
  </si>
  <si>
    <t>Nominal Cr Spread</t>
  </si>
  <si>
    <t>bps</t>
  </si>
  <si>
    <t>We want to buy the bond - but not as a fixed coupon bond, but as an FRN</t>
  </si>
  <si>
    <r>
      <t xml:space="preserve">We buy the bond and </t>
    </r>
    <r>
      <rPr>
        <b/>
        <sz val="20"/>
        <color theme="1"/>
        <rFont val="Calibri"/>
        <family val="2"/>
        <scheme val="minor"/>
      </rPr>
      <t>enter into an OIS</t>
    </r>
    <r>
      <rPr>
        <sz val="20"/>
        <color theme="1"/>
        <rFont val="Calibri"/>
        <family val="2"/>
        <scheme val="minor"/>
      </rPr>
      <t xml:space="preserve"> along side it.  The </t>
    </r>
    <r>
      <rPr>
        <b/>
        <sz val="20"/>
        <color theme="1"/>
        <rFont val="Calibri"/>
        <family val="2"/>
        <scheme val="minor"/>
      </rPr>
      <t>fixed side of the OIS must match the coupon</t>
    </r>
    <r>
      <rPr>
        <sz val="20"/>
        <color theme="1"/>
        <rFont val="Calibri"/>
        <family val="2"/>
        <scheme val="minor"/>
      </rPr>
      <t xml:space="preserve"> on the bond and, as its an FRN, we want to buy it </t>
    </r>
    <r>
      <rPr>
        <b/>
        <sz val="20"/>
        <color theme="1"/>
        <rFont val="Calibri"/>
        <family val="2"/>
        <scheme val="minor"/>
      </rPr>
      <t>at par</t>
    </r>
    <r>
      <rPr>
        <sz val="20"/>
        <color theme="1"/>
        <rFont val="Calibri"/>
        <family val="2"/>
        <scheme val="minor"/>
      </rPr>
      <t>:</t>
    </r>
  </si>
  <si>
    <t>Par Asset Swap</t>
  </si>
  <si>
    <t>Notional</t>
  </si>
  <si>
    <t>Nom ASW</t>
  </si>
  <si>
    <t>Par par ASW</t>
  </si>
  <si>
    <r>
      <rPr>
        <sz val="20"/>
        <color theme="1"/>
        <rFont val="Calibri"/>
        <family val="2"/>
        <scheme val="minor"/>
      </rPr>
      <t xml:space="preserve">Here is the </t>
    </r>
    <r>
      <rPr>
        <b/>
        <sz val="20"/>
        <color theme="1"/>
        <rFont val="Calibri"/>
        <family val="2"/>
        <scheme val="minor"/>
      </rPr>
      <t xml:space="preserve">off-market swap </t>
    </r>
    <r>
      <rPr>
        <sz val="20"/>
        <color theme="1"/>
        <rFont val="Calibri"/>
        <family val="2"/>
        <scheme val="minor"/>
      </rPr>
      <t xml:space="preserve">we pair with the bond to create an </t>
    </r>
    <r>
      <rPr>
        <b/>
        <sz val="20"/>
        <color theme="1"/>
        <rFont val="Calibri"/>
        <family val="2"/>
        <scheme val="minor"/>
      </rPr>
      <t>FRN</t>
    </r>
  </si>
  <si>
    <t>Upfront Payment</t>
  </si>
  <si>
    <t>negative when the bond is above par (we are getting a rebate if we buy the bond at par, so must pay this back on the floating side: a negative receipt), positive when below</t>
  </si>
  <si>
    <t>We pay</t>
  </si>
  <si>
    <t>We rec</t>
  </si>
  <si>
    <t>Fixed (pay)</t>
  </si>
  <si>
    <t>PVFX</t>
  </si>
  <si>
    <t>Fwd</t>
  </si>
  <si>
    <t>ASW</t>
  </si>
  <si>
    <t>PVFL (Rec)</t>
  </si>
  <si>
    <t>Total PV Fixed</t>
  </si>
  <si>
    <t>Total PV FL</t>
  </si>
  <si>
    <t>total value of all received cash flows: the floating AND the diff between par and the bond's value</t>
  </si>
  <si>
    <t>YAS for 2-year AAPL bond</t>
  </si>
  <si>
    <t>Par-par asset swap (later screen grab)</t>
  </si>
  <si>
    <r>
      <t>Option adjusted spreads (</t>
    </r>
    <r>
      <rPr>
        <b/>
        <sz val="22"/>
        <color theme="1"/>
        <rFont val="Calibri"/>
        <family val="2"/>
        <scheme val="minor"/>
      </rPr>
      <t>OAS</t>
    </r>
    <r>
      <rPr>
        <sz val="22"/>
        <color theme="1"/>
        <rFont val="Calibri"/>
        <family val="2"/>
        <scheme val="minor"/>
      </rPr>
      <t>s) are spreads adjusted for early redemption features such as those found on call-able or put-able bonds</t>
    </r>
  </si>
  <si>
    <r>
      <t xml:space="preserve">This requires a different valuation approach.  One where we attempt to forecast future (forward) interest rates.  This is called a binomial method - it uses a </t>
    </r>
    <r>
      <rPr>
        <b/>
        <sz val="22"/>
        <color theme="1"/>
        <rFont val="Calibri"/>
        <family val="2"/>
        <scheme val="minor"/>
      </rPr>
      <t>binomial tree</t>
    </r>
    <r>
      <rPr>
        <sz val="22"/>
        <color theme="1"/>
        <rFont val="Calibri"/>
        <family val="2"/>
        <scheme val="minor"/>
      </rPr>
      <t xml:space="preserve"> of interest rates</t>
    </r>
  </si>
  <si>
    <r>
      <t xml:space="preserve">1. Valuing a </t>
    </r>
    <r>
      <rPr>
        <b/>
        <sz val="22"/>
        <color theme="1"/>
        <rFont val="Calibri"/>
        <family val="2"/>
        <scheme val="minor"/>
      </rPr>
      <t>treasury</t>
    </r>
    <r>
      <rPr>
        <sz val="22"/>
        <color theme="1"/>
        <rFont val="Calibri"/>
        <family val="2"/>
        <scheme val="minor"/>
      </rPr>
      <t xml:space="preserve"> on a binomial tree.</t>
    </r>
  </si>
  <si>
    <r>
      <t xml:space="preserve">2. Valuing a </t>
    </r>
    <r>
      <rPr>
        <b/>
        <sz val="22"/>
        <color theme="1"/>
        <rFont val="Calibri"/>
        <family val="2"/>
        <scheme val="minor"/>
      </rPr>
      <t>vanilla credit bond</t>
    </r>
    <r>
      <rPr>
        <sz val="22"/>
        <color theme="1"/>
        <rFont val="Calibri"/>
        <family val="2"/>
        <scheme val="minor"/>
      </rPr>
      <t xml:space="preserve"> on a binomial tree.</t>
    </r>
  </si>
  <si>
    <t>Binomial (recombining) interest rate tree</t>
  </si>
  <si>
    <t>1 year zero</t>
  </si>
  <si>
    <t xml:space="preserve">Coupon (Ann) </t>
  </si>
  <si>
    <t>Interest rate vol</t>
  </si>
  <si>
    <t>Time step</t>
  </si>
  <si>
    <t>Size up</t>
  </si>
  <si>
    <t>Z-spread</t>
  </si>
  <si>
    <t>Size down</t>
  </si>
  <si>
    <t>Nom Cr Spread</t>
  </si>
  <si>
    <r>
      <t>T</t>
    </r>
    <r>
      <rPr>
        <vertAlign val="subscript"/>
        <sz val="22"/>
        <color theme="1"/>
        <rFont val="Calibri"/>
        <family val="2"/>
        <scheme val="minor"/>
      </rPr>
      <t>0</t>
    </r>
  </si>
  <si>
    <r>
      <t>T</t>
    </r>
    <r>
      <rPr>
        <vertAlign val="subscript"/>
        <sz val="22"/>
        <color theme="1"/>
        <rFont val="Calibri"/>
        <family val="2"/>
        <scheme val="minor"/>
      </rPr>
      <t>1</t>
    </r>
  </si>
  <si>
    <r>
      <t>T</t>
    </r>
    <r>
      <rPr>
        <vertAlign val="subscript"/>
        <sz val="22"/>
        <color theme="1"/>
        <rFont val="Calibri"/>
        <family val="2"/>
        <scheme val="minor"/>
      </rPr>
      <t>2</t>
    </r>
  </si>
  <si>
    <r>
      <t>T</t>
    </r>
    <r>
      <rPr>
        <vertAlign val="subscript"/>
        <sz val="22"/>
        <color theme="1"/>
        <rFont val="Calibri"/>
        <family val="2"/>
        <scheme val="minor"/>
      </rPr>
      <t>3</t>
    </r>
  </si>
  <si>
    <r>
      <t xml:space="preserve"> P(</t>
    </r>
    <r>
      <rPr>
        <i/>
        <sz val="22"/>
        <color theme="1"/>
        <rFont val="Calibri"/>
        <family val="2"/>
        <scheme val="minor"/>
      </rPr>
      <t>u</t>
    </r>
    <r>
      <rPr>
        <sz val="22"/>
        <color theme="1"/>
        <rFont val="Calibri"/>
        <family val="2"/>
        <scheme val="minor"/>
      </rPr>
      <t>)</t>
    </r>
  </si>
  <si>
    <r>
      <t>P(</t>
    </r>
    <r>
      <rPr>
        <i/>
        <sz val="22"/>
        <color theme="1"/>
        <rFont val="Calibri"/>
        <family val="2"/>
        <scheme val="minor"/>
      </rPr>
      <t>d</t>
    </r>
    <r>
      <rPr>
        <sz val="22"/>
        <color theme="1"/>
        <rFont val="Calibri"/>
        <family val="2"/>
        <scheme val="minor"/>
      </rPr>
      <t>)</t>
    </r>
  </si>
  <si>
    <r>
      <t xml:space="preserve">3. Valuing a </t>
    </r>
    <r>
      <rPr>
        <b/>
        <sz val="22"/>
        <color theme="1"/>
        <rFont val="Calibri"/>
        <family val="2"/>
        <scheme val="minor"/>
      </rPr>
      <t xml:space="preserve">callable bond </t>
    </r>
    <r>
      <rPr>
        <sz val="22"/>
        <color theme="1"/>
        <rFont val="Calibri"/>
        <family val="2"/>
        <scheme val="minor"/>
      </rPr>
      <t>on a binomial tree to [estimate] the OAS</t>
    </r>
  </si>
  <si>
    <t>Callable at</t>
  </si>
  <si>
    <t>(clean) after year 1</t>
  </si>
  <si>
    <t>Cost of option</t>
  </si>
  <si>
    <t>[Approx] OAS</t>
  </si>
  <si>
    <t>Now</t>
  </si>
  <si>
    <t>Yield curve</t>
  </si>
  <si>
    <t>Cpn</t>
  </si>
  <si>
    <t>2 years to mat</t>
  </si>
  <si>
    <t>1 year to mat</t>
  </si>
  <si>
    <t>Nom</t>
  </si>
  <si>
    <t>Bond value</t>
  </si>
  <si>
    <t>1 year Repo</t>
  </si>
  <si>
    <t>1 year later</t>
  </si>
  <si>
    <t>Yield curve (unch)</t>
  </si>
  <si>
    <t>uses 1-y YTM</t>
  </si>
  <si>
    <t>P/L</t>
  </si>
  <si>
    <t>Cap gain / loss</t>
  </si>
  <si>
    <t>Coupon receipt</t>
  </si>
  <si>
    <t>Financing cost</t>
  </si>
  <si>
    <t>Overall p/l</t>
  </si>
  <si>
    <t>USD per 100 nom</t>
  </si>
  <si>
    <t>Return on Inv</t>
  </si>
  <si>
    <t>Return attribution</t>
  </si>
  <si>
    <t>Net finance</t>
  </si>
  <si>
    <t>Pull to Par value</t>
  </si>
  <si>
    <t>Pull to par return</t>
  </si>
  <si>
    <t>Roll down value</t>
  </si>
  <si>
    <t>Roll down return</t>
  </si>
  <si>
    <t>Total return</t>
  </si>
  <si>
    <t>Curves</t>
  </si>
  <si>
    <t>Maturity (Years)</t>
  </si>
  <si>
    <t>Orig. Yield Curve</t>
  </si>
  <si>
    <t>Bump</t>
  </si>
  <si>
    <t>New Yield Curve</t>
  </si>
  <si>
    <t>2s10s</t>
  </si>
  <si>
    <t>2s5s10s</t>
  </si>
  <si>
    <t>2s10s Spread = 10y - 2y</t>
  </si>
  <si>
    <t>2s5s10s Butterfly Spread = -2y + 2*5y - 10y</t>
  </si>
  <si>
    <t>Bonds (Ann. Coupon)</t>
  </si>
  <si>
    <t>2 year Bond</t>
  </si>
  <si>
    <t>5 year Bond</t>
  </si>
  <si>
    <t>10 year Bond</t>
  </si>
  <si>
    <t>Years</t>
  </si>
  <si>
    <t>Coupon (ann)</t>
  </si>
  <si>
    <t>Price</t>
  </si>
  <si>
    <t>Price (+1bp)</t>
  </si>
  <si>
    <t>PV01 / Delta (abs)</t>
  </si>
  <si>
    <t>Strategy and Immediate P/L</t>
  </si>
  <si>
    <t>Desired Leg DV01</t>
  </si>
  <si>
    <t>Trade?</t>
  </si>
  <si>
    <t>Y</t>
  </si>
  <si>
    <t>N</t>
  </si>
  <si>
    <t>Long/Short?</t>
  </si>
  <si>
    <t>Short</t>
  </si>
  <si>
    <t>Long</t>
  </si>
  <si>
    <t>Long = 1, Short = -1,(1)</t>
  </si>
  <si>
    <t>Net</t>
  </si>
  <si>
    <t>Comments</t>
  </si>
  <si>
    <t>Market Value</t>
  </si>
  <si>
    <t>Position PV01/Delta</t>
  </si>
  <si>
    <t>Negative means we lose money is rates bump up - ie a long position in rates</t>
  </si>
  <si>
    <t>New Yield</t>
  </si>
  <si>
    <t>New Price</t>
  </si>
  <si>
    <t>Actual P/L</t>
  </si>
  <si>
    <t>Yield Change</t>
  </si>
  <si>
    <t>Explained P/L</t>
  </si>
  <si>
    <t>1st Order (DV01) only</t>
  </si>
  <si>
    <t>Unexplained P/L</t>
  </si>
  <si>
    <t>2nd Order (Convexity) and higher orders</t>
  </si>
  <si>
    <t>Quick 1st Order P/L Estimate</t>
  </si>
  <si>
    <t>2s5s Curve Trade</t>
  </si>
  <si>
    <t>Spread Change</t>
  </si>
  <si>
    <t>Positive = Curve Steepening, Negative = Curve Flattening</t>
  </si>
  <si>
    <t>Leg DV01</t>
  </si>
  <si>
    <t>2s5s10s Butterfly Trade</t>
  </si>
  <si>
    <t>Positive = Negative Butterfly Shift (Bond Prices Falling), Negative = Positive Butterfly Shift (Bond Prices Rising)</t>
  </si>
  <si>
    <t>Wing DV01</t>
  </si>
  <si>
    <r>
      <t xml:space="preserve">Carry and Roll P/L Estimation over </t>
    </r>
    <r>
      <rPr>
        <b/>
        <sz val="20"/>
        <color rgb="FFFFFF00"/>
        <rFont val="Calibri"/>
        <family val="2"/>
        <scheme val="minor"/>
      </rPr>
      <t>1 year horizon</t>
    </r>
    <r>
      <rPr>
        <b/>
        <sz val="20"/>
        <color theme="0"/>
        <rFont val="Calibri"/>
        <family val="2"/>
        <scheme val="minor"/>
      </rPr>
      <t xml:space="preserve"> (attribution)</t>
    </r>
  </si>
  <si>
    <t>Repo Rate</t>
  </si>
  <si>
    <t>1 (was 2-) year Bond</t>
  </si>
  <si>
    <t>4 (was 5-) year Bond</t>
  </si>
  <si>
    <t>9 ( was 10-) year Bond</t>
  </si>
  <si>
    <t>Funding Requirement</t>
  </si>
  <si>
    <t>Negative = Net Repo Requirement (borrow cash, Lend Bonds), Positive = Net Reverse Repo Requirement (lend cash, borrow bonds)</t>
  </si>
  <si>
    <t>Pull to Par Price</t>
  </si>
  <si>
    <t>New Price due to passage of time only</t>
  </si>
  <si>
    <t>Pull to Par P/L</t>
  </si>
  <si>
    <t>Repo Finance</t>
  </si>
  <si>
    <t>Coupon Income</t>
  </si>
  <si>
    <t>Carry</t>
  </si>
  <si>
    <t>Roll Down Yield</t>
  </si>
  <si>
    <t>Roll Down Price</t>
  </si>
  <si>
    <t>New Price due to passage of time and Roll Down Yield</t>
  </si>
  <si>
    <t>Roll Down</t>
  </si>
  <si>
    <t>Total Passage of Time</t>
  </si>
  <si>
    <t>Total P/L over a 1 year horizon</t>
  </si>
  <si>
    <t>Carry and Roll expressed in basis points</t>
  </si>
  <si>
    <t>Total Per Annum</t>
  </si>
  <si>
    <t>Total Per Month</t>
  </si>
  <si>
    <t>Carry (bps)</t>
  </si>
  <si>
    <t>Roll (bps)</t>
  </si>
  <si>
    <r>
      <t xml:space="preserve">Dividing $ Carry and Roll by DV01 per Leg for a curve trade or DV01 per wing of a Fly Trade allows us to identify </t>
    </r>
    <r>
      <rPr>
        <b/>
        <sz val="20"/>
        <color indexed="8"/>
        <rFont val="Calibri"/>
        <family val="2"/>
      </rPr>
      <t>breakeven moves in the spreads</t>
    </r>
  </si>
  <si>
    <t>Eg. If the spread moves against you by 4bps in a month but you generate a +4bp carry and roll over the month then your Total P/L on the trade is close to zero</t>
  </si>
  <si>
    <t>This only works for DV01 matched trades though!</t>
  </si>
  <si>
    <t>Real cpn</t>
  </si>
  <si>
    <t>Dirty P</t>
  </si>
  <si>
    <t>Prev Cpn</t>
  </si>
  <si>
    <t>Sett</t>
  </si>
  <si>
    <t>Next cpn</t>
  </si>
  <si>
    <t>Time (in cpn periods)</t>
  </si>
  <si>
    <t>Cash flow</t>
  </si>
  <si>
    <t>PV cash flow</t>
  </si>
  <si>
    <t>RPI Index Series</t>
  </si>
  <si>
    <t>http://www.ons.gov.uk/ons/datasets-and-tables/data-selector.html?cdid=CHAW&amp;dataset=mm23&amp;table-id=2.1</t>
  </si>
  <si>
    <t>2009 APR</t>
  </si>
  <si>
    <t>2009 MAY</t>
  </si>
  <si>
    <t>2024 FEB</t>
  </si>
  <si>
    <t>2024 MAR</t>
  </si>
  <si>
    <t>2024 APR</t>
  </si>
  <si>
    <t>2024 MAY</t>
  </si>
  <si>
    <t>2024 JUN</t>
  </si>
  <si>
    <t>2024 JUL</t>
  </si>
  <si>
    <t>2024 AUG</t>
  </si>
  <si>
    <t>2024 SEP</t>
  </si>
  <si>
    <t>3 month - UKTi 0 5/8% 2042</t>
  </si>
  <si>
    <t>Par value</t>
  </si>
  <si>
    <t>Bond Details</t>
  </si>
  <si>
    <t>Issue</t>
  </si>
  <si>
    <t>No. days in issue month</t>
  </si>
  <si>
    <t>Real Coupon</t>
  </si>
  <si>
    <t>Settlement</t>
  </si>
  <si>
    <t>Prior Coupon</t>
  </si>
  <si>
    <t>Next Coupon</t>
  </si>
  <si>
    <t>Issue date</t>
  </si>
  <si>
    <t>3-months prior</t>
  </si>
  <si>
    <t>2-months priod</t>
  </si>
  <si>
    <t>Base RPI</t>
  </si>
  <si>
    <t>5 d.p.</t>
  </si>
  <si>
    <t>Last coupon date</t>
  </si>
  <si>
    <t>No. days in cpn month</t>
  </si>
  <si>
    <t>RPI @ last CPN date</t>
  </si>
  <si>
    <t>Next coupon date</t>
  </si>
  <si>
    <t>Next Real Coupon</t>
  </si>
  <si>
    <t>No. days in next cpn month</t>
  </si>
  <si>
    <t>Next Coupon RPI</t>
  </si>
  <si>
    <t>Next Coupon Index Ratio</t>
  </si>
  <si>
    <t>Next Inflation-adjusted Coupon</t>
  </si>
  <si>
    <t>6 d.p.</t>
  </si>
  <si>
    <t>Accrued Coupon</t>
  </si>
  <si>
    <t>Settlement date</t>
  </si>
  <si>
    <t>No. days in sett month</t>
  </si>
  <si>
    <t>Accrued Days (Act)</t>
  </si>
  <si>
    <t>Coupon Period (Act)</t>
  </si>
  <si>
    <t>Real Accrued Coupon</t>
  </si>
  <si>
    <t>For 1m Nom value</t>
  </si>
  <si>
    <t>Settlement RPI</t>
  </si>
  <si>
    <t>Settlement Index Ratio</t>
  </si>
  <si>
    <t>Inflation-adjusted Accrued Coupon</t>
  </si>
  <si>
    <t>Prices and Real Yield</t>
  </si>
  <si>
    <t>Real Clean Price</t>
  </si>
  <si>
    <t>Quoted / Traded Price</t>
  </si>
  <si>
    <t>Inflation-adjusted Clean Price</t>
  </si>
  <si>
    <t>Real Dirty Price</t>
  </si>
  <si>
    <t>Inflation-adjusted Dirty Price</t>
  </si>
  <si>
    <t>Invoice / Settlement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</si>
</sst>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(* #,##0.00_);_(* \(#,##0.00\);_(* &quot;-&quot;??_);_(@_)"/>
    <numFmt numFmtId="164" formatCode="&quot;£&quot;#,##0.00;[Red]\-&quot;£&quot;#,##0.00"/>
    <numFmt numFmtId="165" formatCode="_-* #,##0.00_-;\-* #,##0.00_-;_-* &quot;-&quot;??_-;_-@_-"/>
    <numFmt numFmtId="166" formatCode="0.000%"/>
    <numFmt numFmtId="167" formatCode="0.000000"/>
    <numFmt numFmtId="168" formatCode="0.00000000"/>
    <numFmt numFmtId="169" formatCode="[$-F800]dddd\,\ mmmm\ dd\,\ yyyy"/>
    <numFmt numFmtId="170" formatCode="0.0000"/>
    <numFmt numFmtId="171" formatCode="0.0000%"/>
    <numFmt numFmtId="172" formatCode="0.000"/>
    <numFmt numFmtId="173" formatCode="0.00000"/>
    <numFmt numFmtId="174" formatCode="0.0000000"/>
    <numFmt numFmtId="175" formatCode="0.00000%"/>
    <numFmt numFmtId="176" formatCode="0.000000%"/>
    <numFmt numFmtId="177" formatCode="&quot;£&quot;#,##0.0000;[Red]\-&quot;£&quot;#,##0.0000"/>
    <numFmt numFmtId="178" formatCode="_-* #,##0.000000_-;\-* #,##0.000000_-;_-* &quot;-&quot;??_-;_-@_-"/>
    <numFmt numFmtId="179" formatCode="#,##0.00;[Red]\(#,##0.00\);\-"/>
    <numFmt numFmtId="180" formatCode="_-* #,##0.0000_-;\-* #,##0.0000_-;_-* &quot;-&quot;??_-;_-@_-"/>
    <numFmt numFmtId="181" formatCode="_-* #,##0.00000_-;\-* #,##0.00000_-;_-* &quot;-&quot;??_-;_-@_-"/>
    <numFmt numFmtId="182" formatCode="_-* #,##0.00_-;\-* #,##0.00_-;_-* &quot;-&quot;?????_-;_-@_-"/>
    <numFmt numFmtId="183" formatCode="0.0"/>
    <numFmt numFmtId="184" formatCode="#,##0.0;[Red]\(#,##0.0\);\-"/>
    <numFmt numFmtId="185" formatCode="#,##0.00000;[Red]\(#,##0.00000\);\-"/>
    <numFmt numFmtId="186" formatCode="#,##0.000000;[Red]\(#,##0.000000\);\-"/>
    <numFmt numFmtId="187" formatCode="#,##0;[Red]\(#,##0\);\-"/>
  </numFmts>
  <fonts count="48">
    <font>
      <sz val="22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22"/>
      <color theme="10"/>
      <name val="Calibri"/>
      <family val="2"/>
      <scheme val="minor"/>
    </font>
    <font>
      <sz val="22"/>
      <name val="Calibri"/>
      <family val="2"/>
      <scheme val="minor"/>
    </font>
    <font>
      <b/>
      <sz val="22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22"/>
      <color theme="0"/>
      <name val="Calibri"/>
      <family val="2"/>
      <scheme val="minor"/>
    </font>
    <font>
      <sz val="22"/>
      <color rgb="FFFF0000"/>
      <name val="Calibri"/>
      <family val="2"/>
      <scheme val="minor"/>
    </font>
    <font>
      <i/>
      <sz val="22"/>
      <color theme="1"/>
      <name val="Calibri"/>
      <family val="2"/>
      <scheme val="minor"/>
    </font>
    <font>
      <vertAlign val="subscript"/>
      <sz val="22"/>
      <color theme="1"/>
      <name val="Calibri"/>
      <family val="2"/>
      <scheme val="minor"/>
    </font>
    <font>
      <sz val="22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2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i/>
      <sz val="20"/>
      <color rgb="FFFF0000"/>
      <name val="Calibri"/>
      <family val="2"/>
      <scheme val="minor"/>
    </font>
    <font>
      <sz val="20"/>
      <color theme="7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sz val="22"/>
      <color theme="1" tint="0.499984740745262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 tint="0.499984740745262"/>
      <name val="Calibri"/>
      <family val="2"/>
      <scheme val="minor"/>
    </font>
    <font>
      <b/>
      <i/>
      <sz val="22"/>
      <color rgb="FFC00000"/>
      <name val="Calibri"/>
      <family val="2"/>
      <scheme val="minor"/>
    </font>
    <font>
      <sz val="20"/>
      <name val="Calibri"/>
      <family val="2"/>
    </font>
    <font>
      <b/>
      <sz val="20"/>
      <name val="Calibri"/>
      <family val="2"/>
    </font>
    <font>
      <sz val="20"/>
      <color theme="1"/>
      <name val="Calibri"/>
      <family val="2"/>
    </font>
    <font>
      <u/>
      <sz val="12.1"/>
      <color theme="10"/>
      <name val="Calibri"/>
      <family val="2"/>
    </font>
    <font>
      <u/>
      <sz val="22"/>
      <color theme="10"/>
      <name val="Calibri"/>
      <family val="2"/>
    </font>
    <font>
      <sz val="22"/>
      <color theme="4"/>
      <name val="Calibri"/>
      <family val="2"/>
      <scheme val="minor"/>
    </font>
    <font>
      <sz val="22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rgb="FFFFFF00"/>
      <name val="Calibri"/>
      <family val="2"/>
      <scheme val="minor"/>
    </font>
    <font>
      <b/>
      <sz val="20"/>
      <color indexed="8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6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/>
      <bottom/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0" fontId="25" fillId="10" borderId="0" applyNumberFormat="0" applyProtection="0">
      <alignment horizontal="left" vertical="top"/>
    </xf>
    <xf numFmtId="179" fontId="20" fillId="0" borderId="0">
      <alignment horizontal="right" vertical="top"/>
    </xf>
    <xf numFmtId="10" fontId="20" fillId="0" borderId="0" applyFont="0" applyFill="0" applyBorder="0" applyAlignment="0" applyProtection="0">
      <alignment horizontal="center" vertical="top" wrapText="1"/>
    </xf>
    <xf numFmtId="179" fontId="26" fillId="11" borderId="2" applyNumberFormat="0" applyBorder="0" applyAlignment="0" applyProtection="0"/>
    <xf numFmtId="0" fontId="27" fillId="0" borderId="0" applyNumberFormat="0" applyFill="0" applyBorder="0" applyProtection="0">
      <alignment horizontal="left" vertical="center"/>
    </xf>
    <xf numFmtId="0" fontId="15" fillId="0" borderId="0"/>
    <xf numFmtId="165" fontId="15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9" fontId="20" fillId="0" borderId="0">
      <alignment horizontal="right" vertical="top"/>
    </xf>
    <xf numFmtId="0" fontId="41" fillId="0" borderId="0" applyNumberFormat="0" applyFill="0" applyBorder="0" applyAlignment="0" applyProtection="0">
      <alignment vertical="top"/>
      <protection locked="0"/>
    </xf>
    <xf numFmtId="10" fontId="20" fillId="0" borderId="0" applyFont="0" applyFill="0" applyBorder="0" applyAlignment="0" applyProtection="0">
      <alignment horizontal="center" vertical="top" wrapText="1"/>
    </xf>
    <xf numFmtId="179" fontId="20" fillId="15" borderId="2" applyNumberFormat="0" applyBorder="0" applyAlignment="0" applyProtection="0"/>
  </cellStyleXfs>
  <cellXfs count="376">
    <xf numFmtId="0" fontId="0" fillId="0" borderId="0" xfId="0"/>
    <xf numFmtId="14" fontId="0" fillId="0" borderId="0" xfId="0" applyNumberFormat="1"/>
    <xf numFmtId="168" fontId="0" fillId="0" borderId="0" xfId="0" applyNumberFormat="1"/>
    <xf numFmtId="10" fontId="0" fillId="0" borderId="0" xfId="0" applyNumberFormat="1"/>
    <xf numFmtId="0" fontId="0" fillId="0" borderId="0" xfId="0" applyAlignment="1">
      <alignment horizontal="center"/>
    </xf>
    <xf numFmtId="169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167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/>
    </xf>
    <xf numFmtId="10" fontId="0" fillId="0" borderId="0" xfId="0" applyNumberFormat="1" applyAlignment="1">
      <alignment horizontal="center"/>
    </xf>
    <xf numFmtId="10" fontId="0" fillId="0" borderId="1" xfId="0" applyNumberFormat="1" applyBorder="1" applyAlignment="1">
      <alignment horizontal="center"/>
    </xf>
    <xf numFmtId="167" fontId="0" fillId="0" borderId="1" xfId="0" applyNumberFormat="1" applyBorder="1" applyAlignment="1">
      <alignment horizontal="center"/>
    </xf>
    <xf numFmtId="170" fontId="0" fillId="0" borderId="0" xfId="0" applyNumberFormat="1" applyAlignment="1">
      <alignment horizontal="center"/>
    </xf>
    <xf numFmtId="170" fontId="0" fillId="0" borderId="1" xfId="0" applyNumberFormat="1" applyBorder="1" applyAlignment="1">
      <alignment horizontal="center"/>
    </xf>
    <xf numFmtId="10" fontId="0" fillId="3" borderId="0" xfId="0" applyNumberFormat="1" applyFill="1" applyAlignment="1">
      <alignment horizontal="center"/>
    </xf>
    <xf numFmtId="10" fontId="0" fillId="3" borderId="1" xfId="0" applyNumberFormat="1" applyFill="1" applyBorder="1" applyAlignment="1">
      <alignment horizontal="center"/>
    </xf>
    <xf numFmtId="170" fontId="0" fillId="4" borderId="0" xfId="0" applyNumberFormat="1" applyFill="1" applyAlignment="1">
      <alignment horizontal="center"/>
    </xf>
    <xf numFmtId="170" fontId="0" fillId="4" borderId="1" xfId="0" applyNumberFormat="1" applyFill="1" applyBorder="1" applyAlignment="1">
      <alignment horizontal="center"/>
    </xf>
    <xf numFmtId="10" fontId="0" fillId="0" borderId="0" xfId="1" applyNumberFormat="1" applyFont="1"/>
    <xf numFmtId="0" fontId="2" fillId="0" borderId="0" xfId="0" applyFont="1" applyAlignment="1">
      <alignment horizontal="center"/>
    </xf>
    <xf numFmtId="0" fontId="4" fillId="0" borderId="0" xfId="2"/>
    <xf numFmtId="0" fontId="2" fillId="0" borderId="0" xfId="0" applyFont="1"/>
    <xf numFmtId="0" fontId="2" fillId="0" borderId="0" xfId="0" applyFont="1" applyAlignment="1">
      <alignment horizontal="right"/>
    </xf>
    <xf numFmtId="171" fontId="0" fillId="2" borderId="0" xfId="1" applyNumberFormat="1" applyFont="1" applyFill="1" applyAlignment="1">
      <alignment horizontal="center"/>
    </xf>
    <xf numFmtId="0" fontId="2" fillId="0" borderId="0" xfId="0" applyFont="1" applyAlignment="1">
      <alignment horizontal="left"/>
    </xf>
    <xf numFmtId="171" fontId="0" fillId="4" borderId="0" xfId="1" applyNumberFormat="1" applyFont="1" applyFill="1" applyAlignment="1">
      <alignment horizontal="center"/>
    </xf>
    <xf numFmtId="171" fontId="0" fillId="0" borderId="0" xfId="1" applyNumberFormat="1" applyFont="1" applyFill="1" applyAlignment="1">
      <alignment horizontal="center"/>
    </xf>
    <xf numFmtId="2" fontId="0" fillId="0" borderId="0" xfId="0" applyNumberFormat="1"/>
    <xf numFmtId="171" fontId="0" fillId="4" borderId="0" xfId="1" applyNumberFormat="1" applyFont="1" applyFill="1"/>
    <xf numFmtId="171" fontId="0" fillId="0" borderId="0" xfId="0" applyNumberFormat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0" fillId="0" borderId="0" xfId="0" applyAlignment="1">
      <alignment horizontal="left"/>
    </xf>
    <xf numFmtId="172" fontId="0" fillId="0" borderId="0" xfId="0" applyNumberFormat="1"/>
    <xf numFmtId="170" fontId="0" fillId="0" borderId="0" xfId="0" applyNumberFormat="1"/>
    <xf numFmtId="173" fontId="0" fillId="0" borderId="0" xfId="0" applyNumberFormat="1"/>
    <xf numFmtId="165" fontId="0" fillId="0" borderId="0" xfId="4" applyFont="1"/>
    <xf numFmtId="165" fontId="0" fillId="0" borderId="0" xfId="0" applyNumberFormat="1"/>
    <xf numFmtId="0" fontId="0" fillId="0" borderId="0" xfId="0" applyAlignment="1">
      <alignment horizontal="right"/>
    </xf>
    <xf numFmtId="0" fontId="0" fillId="4" borderId="0" xfId="0" applyFill="1"/>
    <xf numFmtId="165" fontId="0" fillId="4" borderId="0" xfId="4" applyFont="1" applyFill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68" fontId="0" fillId="4" borderId="0" xfId="0" applyNumberFormat="1" applyFill="1"/>
    <xf numFmtId="166" fontId="0" fillId="0" borderId="0" xfId="1" applyNumberFormat="1" applyFont="1"/>
    <xf numFmtId="171" fontId="0" fillId="0" borderId="0" xfId="1" applyNumberFormat="1" applyFont="1"/>
    <xf numFmtId="175" fontId="0" fillId="0" borderId="0" xfId="1" applyNumberFormat="1" applyFont="1"/>
    <xf numFmtId="0" fontId="0" fillId="0" borderId="1" xfId="0" applyBorder="1"/>
    <xf numFmtId="0" fontId="0" fillId="4" borderId="1" xfId="0" applyFill="1" applyBorder="1"/>
    <xf numFmtId="171" fontId="0" fillId="0" borderId="0" xfId="0" applyNumberFormat="1"/>
    <xf numFmtId="0" fontId="5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167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/>
    </xf>
    <xf numFmtId="167" fontId="5" fillId="0" borderId="1" xfId="0" applyNumberFormat="1" applyFont="1" applyBorder="1" applyAlignment="1">
      <alignment horizontal="center"/>
    </xf>
    <xf numFmtId="167" fontId="0" fillId="4" borderId="0" xfId="0" applyNumberFormat="1" applyFill="1"/>
    <xf numFmtId="167" fontId="0" fillId="4" borderId="1" xfId="0" applyNumberFormat="1" applyFill="1" applyBorder="1"/>
    <xf numFmtId="173" fontId="0" fillId="4" borderId="0" xfId="0" applyNumberFormat="1" applyFill="1"/>
    <xf numFmtId="173" fontId="0" fillId="4" borderId="1" xfId="0" applyNumberFormat="1" applyFill="1" applyBorder="1"/>
    <xf numFmtId="166" fontId="0" fillId="4" borderId="0" xfId="1" applyNumberFormat="1" applyFont="1" applyFill="1" applyAlignment="1">
      <alignment horizontal="center"/>
    </xf>
    <xf numFmtId="166" fontId="0" fillId="0" borderId="0" xfId="1" applyNumberFormat="1" applyFont="1" applyFill="1" applyAlignment="1">
      <alignment horizontal="center"/>
    </xf>
    <xf numFmtId="2" fontId="0" fillId="4" borderId="0" xfId="0" applyNumberFormat="1" applyFill="1"/>
    <xf numFmtId="170" fontId="0" fillId="4" borderId="0" xfId="0" applyNumberFormat="1" applyFill="1"/>
    <xf numFmtId="9" fontId="0" fillId="0" borderId="0" xfId="0" applyNumberFormat="1"/>
    <xf numFmtId="164" fontId="0" fillId="0" borderId="0" xfId="0" applyNumberFormat="1"/>
    <xf numFmtId="0" fontId="10" fillId="7" borderId="0" xfId="0" applyFont="1" applyFill="1"/>
    <xf numFmtId="2" fontId="0" fillId="2" borderId="0" xfId="0" applyNumberFormat="1" applyFill="1"/>
    <xf numFmtId="177" fontId="0" fillId="0" borderId="0" xfId="0" applyNumberFormat="1"/>
    <xf numFmtId="170" fontId="0" fillId="4" borderId="0" xfId="1" applyNumberFormat="1" applyFont="1" applyFill="1"/>
    <xf numFmtId="170" fontId="0" fillId="4" borderId="0" xfId="4" applyNumberFormat="1" applyFont="1" applyFill="1"/>
    <xf numFmtId="2" fontId="0" fillId="8" borderId="0" xfId="0" applyNumberFormat="1" applyFill="1"/>
    <xf numFmtId="170" fontId="0" fillId="4" borderId="1" xfId="0" applyNumberFormat="1" applyFill="1" applyBorder="1"/>
    <xf numFmtId="2" fontId="0" fillId="9" borderId="0" xfId="1" applyNumberFormat="1" applyFont="1" applyFill="1"/>
    <xf numFmtId="171" fontId="0" fillId="4" borderId="1" xfId="1" applyNumberFormat="1" applyFont="1" applyFill="1" applyBorder="1"/>
    <xf numFmtId="171" fontId="0" fillId="4" borderId="0" xfId="0" applyNumberFormat="1" applyFill="1"/>
    <xf numFmtId="0" fontId="15" fillId="0" borderId="0" xfId="6"/>
    <xf numFmtId="0" fontId="16" fillId="0" borderId="0" xfId="6" applyFont="1" applyAlignment="1">
      <alignment horizontal="right"/>
    </xf>
    <xf numFmtId="2" fontId="15" fillId="0" borderId="3" xfId="6" applyNumberFormat="1" applyBorder="1" applyAlignment="1">
      <alignment horizontal="center" vertical="center"/>
    </xf>
    <xf numFmtId="2" fontId="15" fillId="0" borderId="0" xfId="6" applyNumberFormat="1" applyAlignment="1">
      <alignment horizontal="center" vertical="center"/>
    </xf>
    <xf numFmtId="0" fontId="16" fillId="0" borderId="1" xfId="6" applyFont="1" applyBorder="1" applyAlignment="1">
      <alignment horizontal="right"/>
    </xf>
    <xf numFmtId="166" fontId="17" fillId="0" borderId="4" xfId="6" applyNumberFormat="1" applyFont="1" applyBorder="1" applyAlignment="1">
      <alignment horizontal="center" vertical="center"/>
    </xf>
    <xf numFmtId="166" fontId="17" fillId="0" borderId="1" xfId="6" applyNumberFormat="1" applyFont="1" applyBorder="1" applyAlignment="1">
      <alignment horizontal="center" vertical="center"/>
    </xf>
    <xf numFmtId="167" fontId="15" fillId="0" borderId="0" xfId="6" applyNumberFormat="1"/>
    <xf numFmtId="0" fontId="16" fillId="0" borderId="1" xfId="6" applyFont="1" applyBorder="1" applyAlignment="1">
      <alignment horizontal="center"/>
    </xf>
    <xf numFmtId="0" fontId="16" fillId="0" borderId="1" xfId="6" applyFont="1" applyBorder="1" applyAlignment="1">
      <alignment horizontal="center" wrapText="1"/>
    </xf>
    <xf numFmtId="0" fontId="18" fillId="0" borderId="1" xfId="6" applyFont="1" applyBorder="1" applyAlignment="1">
      <alignment horizontal="center" wrapText="1"/>
    </xf>
    <xf numFmtId="0" fontId="16" fillId="0" borderId="0" xfId="6" applyFont="1" applyAlignment="1">
      <alignment horizontal="center"/>
    </xf>
    <xf numFmtId="167" fontId="16" fillId="0" borderId="7" xfId="6" applyNumberFormat="1" applyFont="1" applyBorder="1" applyAlignment="1">
      <alignment horizontal="center" vertical="center"/>
    </xf>
    <xf numFmtId="2" fontId="16" fillId="0" borderId="1" xfId="6" applyNumberFormat="1" applyFont="1" applyBorder="1" applyAlignment="1">
      <alignment horizontal="center" vertical="center"/>
    </xf>
    <xf numFmtId="2" fontId="15" fillId="0" borderId="0" xfId="6" applyNumberFormat="1"/>
    <xf numFmtId="171" fontId="0" fillId="0" borderId="0" xfId="7" applyNumberFormat="1" applyFont="1" applyAlignment="1">
      <alignment horizontal="center"/>
    </xf>
    <xf numFmtId="166" fontId="15" fillId="3" borderId="0" xfId="6" applyNumberFormat="1" applyFill="1"/>
    <xf numFmtId="10" fontId="15" fillId="0" borderId="0" xfId="6" applyNumberFormat="1" applyAlignment="1">
      <alignment horizontal="center"/>
    </xf>
    <xf numFmtId="167" fontId="15" fillId="0" borderId="0" xfId="6" applyNumberFormat="1" applyAlignment="1">
      <alignment horizontal="center"/>
    </xf>
    <xf numFmtId="171" fontId="0" fillId="0" borderId="0" xfId="7" applyNumberFormat="1" applyFont="1" applyFill="1" applyBorder="1"/>
    <xf numFmtId="1" fontId="15" fillId="0" borderId="8" xfId="6" applyNumberFormat="1" applyBorder="1"/>
    <xf numFmtId="0" fontId="19" fillId="0" borderId="0" xfId="6" applyFont="1"/>
    <xf numFmtId="166" fontId="19" fillId="3" borderId="0" xfId="8" applyNumberFormat="1" applyFont="1" applyFill="1" applyAlignment="1">
      <alignment horizontal="right"/>
    </xf>
    <xf numFmtId="171" fontId="0" fillId="3" borderId="0" xfId="7" applyNumberFormat="1" applyFont="1" applyFill="1" applyAlignment="1">
      <alignment horizontal="center"/>
    </xf>
    <xf numFmtId="166" fontId="17" fillId="3" borderId="0" xfId="6" applyNumberFormat="1" applyFont="1" applyFill="1"/>
    <xf numFmtId="2" fontId="15" fillId="0" borderId="1" xfId="6" applyNumberFormat="1" applyBorder="1"/>
    <xf numFmtId="171" fontId="0" fillId="3" borderId="1" xfId="7" applyNumberFormat="1" applyFont="1" applyFill="1" applyBorder="1" applyAlignment="1">
      <alignment horizontal="center"/>
    </xf>
    <xf numFmtId="166" fontId="15" fillId="3" borderId="1" xfId="6" applyNumberFormat="1" applyFill="1" applyBorder="1"/>
    <xf numFmtId="10" fontId="15" fillId="0" borderId="1" xfId="6" applyNumberFormat="1" applyBorder="1" applyAlignment="1">
      <alignment horizontal="center"/>
    </xf>
    <xf numFmtId="167" fontId="15" fillId="0" borderId="1" xfId="6" applyNumberFormat="1" applyBorder="1" applyAlignment="1">
      <alignment horizontal="center"/>
    </xf>
    <xf numFmtId="0" fontId="16" fillId="0" borderId="0" xfId="6" applyFont="1"/>
    <xf numFmtId="0" fontId="16" fillId="0" borderId="0" xfId="0" applyFont="1" applyAlignment="1">
      <alignment horizontal="right"/>
    </xf>
    <xf numFmtId="3" fontId="0" fillId="0" borderId="0" xfId="0" applyNumberFormat="1"/>
    <xf numFmtId="0" fontId="16" fillId="0" borderId="1" xfId="0" applyFont="1" applyBorder="1" applyAlignment="1">
      <alignment horizontal="center" vertical="center" wrapText="1"/>
    </xf>
    <xf numFmtId="165" fontId="0" fillId="0" borderId="0" xfId="5" applyFont="1"/>
    <xf numFmtId="165" fontId="15" fillId="0" borderId="0" xfId="6" applyNumberFormat="1"/>
    <xf numFmtId="165" fontId="0" fillId="0" borderId="1" xfId="5" applyFont="1" applyBorder="1"/>
    <xf numFmtId="165" fontId="0" fillId="0" borderId="1" xfId="0" applyNumberFormat="1" applyBorder="1"/>
    <xf numFmtId="9" fontId="0" fillId="0" borderId="1" xfId="0" applyNumberFormat="1" applyBorder="1"/>
    <xf numFmtId="170" fontId="0" fillId="0" borderId="1" xfId="0" applyNumberFormat="1" applyBorder="1"/>
    <xf numFmtId="165" fontId="15" fillId="0" borderId="1" xfId="6" applyNumberFormat="1" applyBorder="1"/>
    <xf numFmtId="0" fontId="16" fillId="0" borderId="0" xfId="0" applyFont="1"/>
    <xf numFmtId="9" fontId="16" fillId="0" borderId="0" xfId="0" applyNumberFormat="1" applyFont="1"/>
    <xf numFmtId="178" fontId="0" fillId="4" borderId="0" xfId="5" applyNumberFormat="1" applyFont="1" applyFill="1"/>
    <xf numFmtId="0" fontId="15" fillId="0" borderId="0" xfId="9" applyFont="1"/>
    <xf numFmtId="166" fontId="15" fillId="4" borderId="0" xfId="9" applyNumberFormat="1" applyFont="1" applyFill="1"/>
    <xf numFmtId="170" fontId="15" fillId="0" borderId="0" xfId="9" applyNumberFormat="1" applyFont="1"/>
    <xf numFmtId="2" fontId="15" fillId="0" borderId="0" xfId="9" applyNumberFormat="1" applyFont="1"/>
    <xf numFmtId="166" fontId="15" fillId="0" borderId="0" xfId="9" applyNumberFormat="1" applyFont="1"/>
    <xf numFmtId="0" fontId="0" fillId="0" borderId="0" xfId="9" applyFont="1"/>
    <xf numFmtId="10" fontId="15" fillId="0" borderId="0" xfId="9" applyNumberFormat="1" applyFont="1"/>
    <xf numFmtId="10" fontId="35" fillId="0" borderId="0" xfId="0" applyNumberFormat="1" applyFont="1" applyAlignment="1">
      <alignment horizontal="center"/>
    </xf>
    <xf numFmtId="0" fontId="36" fillId="0" borderId="0" xfId="0" applyFont="1" applyAlignment="1">
      <alignment horizontal="center"/>
    </xf>
    <xf numFmtId="10" fontId="0" fillId="0" borderId="0" xfId="0" applyNumberForma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2" fontId="34" fillId="0" borderId="0" xfId="0" applyNumberFormat="1" applyFont="1" applyAlignment="1">
      <alignment horizontal="center" vertical="center"/>
    </xf>
    <xf numFmtId="2" fontId="14" fillId="2" borderId="0" xfId="0" applyNumberFormat="1" applyFont="1" applyFill="1" applyAlignment="1">
      <alignment horizontal="center" vertical="center"/>
    </xf>
    <xf numFmtId="2" fontId="34" fillId="9" borderId="0" xfId="0" applyNumberFormat="1" applyFont="1" applyFill="1" applyAlignment="1">
      <alignment horizontal="center" vertical="center"/>
    </xf>
    <xf numFmtId="2" fontId="34" fillId="8" borderId="0" xfId="0" applyNumberFormat="1" applyFont="1" applyFill="1" applyAlignment="1">
      <alignment horizontal="center" vertical="center"/>
    </xf>
    <xf numFmtId="171" fontId="5" fillId="0" borderId="0" xfId="0" applyNumberFormat="1" applyFont="1" applyAlignment="1">
      <alignment horizontal="center"/>
    </xf>
    <xf numFmtId="171" fontId="5" fillId="0" borderId="1" xfId="0" applyNumberFormat="1" applyFont="1" applyBorder="1" applyAlignment="1">
      <alignment horizontal="center"/>
    </xf>
    <xf numFmtId="0" fontId="16" fillId="0" borderId="5" xfId="6" applyFont="1" applyBorder="1" applyAlignment="1">
      <alignment horizontal="center" vertical="center"/>
    </xf>
    <xf numFmtId="0" fontId="16" fillId="0" borderId="6" xfId="6" applyFont="1" applyBorder="1" applyAlignment="1">
      <alignment horizontal="center" vertical="center"/>
    </xf>
    <xf numFmtId="0" fontId="15" fillId="0" borderId="0" xfId="6" applyAlignment="1">
      <alignment horizontal="center" vertical="center"/>
    </xf>
    <xf numFmtId="0" fontId="15" fillId="0" borderId="1" xfId="6" applyBorder="1" applyAlignment="1">
      <alignment horizontal="center" vertical="center"/>
    </xf>
    <xf numFmtId="172" fontId="15" fillId="0" borderId="0" xfId="6" applyNumberFormat="1" applyAlignment="1">
      <alignment horizontal="center" vertical="center"/>
    </xf>
    <xf numFmtId="171" fontId="15" fillId="0" borderId="0" xfId="6" applyNumberFormat="1" applyAlignment="1">
      <alignment horizontal="center" vertical="center"/>
    </xf>
    <xf numFmtId="172" fontId="15" fillId="0" borderId="0" xfId="6" applyNumberFormat="1" applyAlignment="1">
      <alignment horizontal="center"/>
    </xf>
    <xf numFmtId="10" fontId="14" fillId="5" borderId="0" xfId="0" applyNumberFormat="1" applyFont="1" applyFill="1" applyAlignment="1">
      <alignment horizontal="center"/>
    </xf>
    <xf numFmtId="14" fontId="15" fillId="0" borderId="0" xfId="6" applyNumberFormat="1"/>
    <xf numFmtId="0" fontId="15" fillId="0" borderId="0" xfId="15"/>
    <xf numFmtId="0" fontId="16" fillId="0" borderId="0" xfId="15" applyFont="1"/>
    <xf numFmtId="0" fontId="16" fillId="0" borderId="0" xfId="15" applyFont="1" applyAlignment="1">
      <alignment horizontal="right"/>
    </xf>
    <xf numFmtId="170" fontId="15" fillId="0" borderId="0" xfId="15" applyNumberFormat="1"/>
    <xf numFmtId="0" fontId="16" fillId="0" borderId="1" xfId="9" applyFont="1" applyBorder="1" applyAlignment="1">
      <alignment horizontal="center"/>
    </xf>
    <xf numFmtId="171" fontId="0" fillId="0" borderId="0" xfId="7" applyNumberFormat="1" applyFont="1" applyFill="1"/>
    <xf numFmtId="170" fontId="15" fillId="0" borderId="0" xfId="15" applyNumberFormat="1" applyAlignment="1">
      <alignment horizontal="center"/>
    </xf>
    <xf numFmtId="174" fontId="15" fillId="0" borderId="0" xfId="15" applyNumberFormat="1" applyAlignment="1">
      <alignment horizontal="center"/>
    </xf>
    <xf numFmtId="170" fontId="15" fillId="0" borderId="0" xfId="6" applyNumberFormat="1"/>
    <xf numFmtId="173" fontId="15" fillId="0" borderId="0" xfId="6" applyNumberFormat="1"/>
    <xf numFmtId="167" fontId="15" fillId="4" borderId="0" xfId="15" applyNumberFormat="1" applyFill="1" applyAlignment="1">
      <alignment horizontal="center"/>
    </xf>
    <xf numFmtId="171" fontId="15" fillId="0" borderId="0" xfId="8" applyNumberFormat="1" applyFont="1" applyFill="1"/>
    <xf numFmtId="2" fontId="15" fillId="0" borderId="1" xfId="9" applyNumberFormat="1" applyFont="1" applyBorder="1"/>
    <xf numFmtId="170" fontId="15" fillId="0" borderId="1" xfId="6" applyNumberFormat="1" applyBorder="1"/>
    <xf numFmtId="167" fontId="15" fillId="4" borderId="1" xfId="15" applyNumberFormat="1" applyFill="1" applyBorder="1" applyAlignment="1">
      <alignment horizontal="center"/>
    </xf>
    <xf numFmtId="166" fontId="24" fillId="0" borderId="0" xfId="7" applyNumberFormat="1" applyFont="1" applyFill="1"/>
    <xf numFmtId="173" fontId="15" fillId="0" borderId="0" xfId="9" applyNumberFormat="1" applyFont="1"/>
    <xf numFmtId="2" fontId="0" fillId="0" borderId="0" xfId="7" applyNumberFormat="1" applyFont="1" applyFill="1"/>
    <xf numFmtId="167" fontId="15" fillId="0" borderId="0" xfId="15" applyNumberFormat="1" applyAlignment="1">
      <alignment horizontal="center"/>
    </xf>
    <xf numFmtId="176" fontId="15" fillId="0" borderId="0" xfId="6" applyNumberFormat="1"/>
    <xf numFmtId="165" fontId="0" fillId="0" borderId="0" xfId="16" applyFont="1"/>
    <xf numFmtId="10" fontId="15" fillId="0" borderId="0" xfId="6" applyNumberFormat="1"/>
    <xf numFmtId="0" fontId="2" fillId="0" borderId="0" xfId="9" applyFont="1" applyAlignment="1">
      <alignment horizontal="right"/>
    </xf>
    <xf numFmtId="166" fontId="15" fillId="0" borderId="0" xfId="1" applyNumberFormat="1" applyFont="1" applyFill="1"/>
    <xf numFmtId="166" fontId="18" fillId="0" borderId="0" xfId="7" applyNumberFormat="1" applyFont="1" applyFill="1"/>
    <xf numFmtId="166" fontId="16" fillId="0" borderId="0" xfId="9" applyNumberFormat="1" applyFont="1"/>
    <xf numFmtId="0" fontId="18" fillId="0" borderId="1" xfId="6" applyFont="1" applyBorder="1" applyAlignment="1">
      <alignment horizontal="center"/>
    </xf>
    <xf numFmtId="171" fontId="0" fillId="0" borderId="1" xfId="7" applyNumberFormat="1" applyFont="1" applyBorder="1" applyAlignment="1">
      <alignment horizontal="center"/>
    </xf>
    <xf numFmtId="171" fontId="15" fillId="0" borderId="1" xfId="8" applyNumberFormat="1" applyFont="1" applyFill="1" applyBorder="1"/>
    <xf numFmtId="166" fontId="15" fillId="0" borderId="1" xfId="9" applyNumberFormat="1" applyFont="1" applyBorder="1"/>
    <xf numFmtId="170" fontId="15" fillId="0" borderId="1" xfId="9" applyNumberFormat="1" applyFont="1" applyBorder="1"/>
    <xf numFmtId="166" fontId="17" fillId="4" borderId="0" xfId="7" applyNumberFormat="1" applyFont="1" applyFill="1"/>
    <xf numFmtId="166" fontId="17" fillId="0" borderId="1" xfId="7" applyNumberFormat="1" applyFont="1" applyBorder="1"/>
    <xf numFmtId="170" fontId="15" fillId="0" borderId="0" xfId="9" applyNumberFormat="1" applyFont="1" applyAlignment="1">
      <alignment horizontal="center" vertical="center"/>
    </xf>
    <xf numFmtId="174" fontId="0" fillId="0" borderId="0" xfId="7" applyNumberFormat="1" applyFont="1" applyAlignment="1">
      <alignment horizontal="center"/>
    </xf>
    <xf numFmtId="174" fontId="0" fillId="0" borderId="1" xfId="7" applyNumberFormat="1" applyFont="1" applyBorder="1" applyAlignment="1">
      <alignment horizontal="center"/>
    </xf>
    <xf numFmtId="174" fontId="15" fillId="4" borderId="0" xfId="15" applyNumberFormat="1" applyFill="1" applyAlignment="1">
      <alignment horizontal="center"/>
    </xf>
    <xf numFmtId="166" fontId="15" fillId="0" borderId="0" xfId="1" applyNumberFormat="1" applyFont="1"/>
    <xf numFmtId="171" fontId="15" fillId="0" borderId="0" xfId="1" applyNumberFormat="1" applyFont="1"/>
    <xf numFmtId="0" fontId="16" fillId="3" borderId="1" xfId="15" applyFont="1" applyFill="1" applyBorder="1" applyAlignment="1">
      <alignment horizontal="center"/>
    </xf>
    <xf numFmtId="170" fontId="15" fillId="3" borderId="0" xfId="15" applyNumberFormat="1" applyFill="1" applyAlignment="1">
      <alignment horizontal="center"/>
    </xf>
    <xf numFmtId="180" fontId="15" fillId="3" borderId="0" xfId="15" applyNumberFormat="1" applyFill="1"/>
    <xf numFmtId="0" fontId="16" fillId="12" borderId="0" xfId="15" applyFont="1" applyFill="1" applyAlignment="1">
      <alignment horizontal="right"/>
    </xf>
    <xf numFmtId="0" fontId="15" fillId="12" borderId="0" xfId="6" applyFill="1"/>
    <xf numFmtId="0" fontId="16" fillId="12" borderId="1" xfId="15" applyFont="1" applyFill="1" applyBorder="1" applyAlignment="1">
      <alignment horizontal="center"/>
    </xf>
    <xf numFmtId="170" fontId="15" fillId="3" borderId="1" xfId="15" applyNumberFormat="1" applyFill="1" applyBorder="1" applyAlignment="1">
      <alignment horizontal="center"/>
    </xf>
    <xf numFmtId="174" fontId="15" fillId="4" borderId="1" xfId="15" applyNumberFormat="1" applyFill="1" applyBorder="1" applyAlignment="1">
      <alignment horizontal="center"/>
    </xf>
    <xf numFmtId="0" fontId="16" fillId="12" borderId="4" xfId="15" applyFont="1" applyFill="1" applyBorder="1" applyAlignment="1">
      <alignment horizontal="center"/>
    </xf>
    <xf numFmtId="167" fontId="17" fillId="4" borderId="3" xfId="15" applyNumberFormat="1" applyFont="1" applyFill="1" applyBorder="1" applyAlignment="1">
      <alignment horizontal="center"/>
    </xf>
    <xf numFmtId="167" fontId="17" fillId="4" borderId="4" xfId="15" applyNumberFormat="1" applyFont="1" applyFill="1" applyBorder="1" applyAlignment="1">
      <alignment horizontal="center"/>
    </xf>
    <xf numFmtId="0" fontId="15" fillId="12" borderId="3" xfId="6" applyFill="1" applyBorder="1"/>
    <xf numFmtId="0" fontId="16" fillId="12" borderId="3" xfId="15" applyFont="1" applyFill="1" applyBorder="1" applyAlignment="1">
      <alignment horizontal="center"/>
    </xf>
    <xf numFmtId="0" fontId="16" fillId="3" borderId="0" xfId="6" applyFont="1" applyFill="1" applyAlignment="1">
      <alignment horizontal="center"/>
    </xf>
    <xf numFmtId="171" fontId="15" fillId="0" borderId="0" xfId="15" applyNumberFormat="1"/>
    <xf numFmtId="0" fontId="18" fillId="0" borderId="0" xfId="15" applyFont="1" applyAlignment="1">
      <alignment horizontal="right"/>
    </xf>
    <xf numFmtId="173" fontId="15" fillId="12" borderId="0" xfId="15" applyNumberFormat="1" applyFill="1" applyAlignment="1">
      <alignment horizontal="center"/>
    </xf>
    <xf numFmtId="170" fontId="15" fillId="4" borderId="0" xfId="15" applyNumberFormat="1" applyFill="1" applyAlignment="1">
      <alignment horizontal="center"/>
    </xf>
    <xf numFmtId="173" fontId="15" fillId="4" borderId="0" xfId="6" applyNumberFormat="1" applyFill="1"/>
    <xf numFmtId="173" fontId="15" fillId="4" borderId="1" xfId="6" applyNumberFormat="1" applyFill="1" applyBorder="1"/>
    <xf numFmtId="0" fontId="0" fillId="0" borderId="0" xfId="16" applyNumberFormat="1" applyFont="1" applyAlignment="1">
      <alignment horizontal="right" vertical="center"/>
    </xf>
    <xf numFmtId="0" fontId="15" fillId="0" borderId="0" xfId="6" applyAlignment="1">
      <alignment horizontal="right"/>
    </xf>
    <xf numFmtId="2" fontId="0" fillId="0" borderId="0" xfId="16" applyNumberFormat="1" applyFont="1"/>
    <xf numFmtId="181" fontId="0" fillId="0" borderId="0" xfId="16" applyNumberFormat="1" applyFont="1"/>
    <xf numFmtId="182" fontId="15" fillId="0" borderId="0" xfId="6" applyNumberFormat="1"/>
    <xf numFmtId="165" fontId="15" fillId="0" borderId="0" xfId="4" applyFont="1"/>
    <xf numFmtId="2" fontId="15" fillId="4" borderId="0" xfId="15" applyNumberFormat="1" applyFill="1"/>
    <xf numFmtId="0" fontId="16" fillId="3" borderId="0" xfId="15" applyFont="1" applyFill="1" applyAlignment="1">
      <alignment horizontal="right"/>
    </xf>
    <xf numFmtId="173" fontId="15" fillId="3" borderId="0" xfId="15" applyNumberFormat="1" applyFill="1" applyAlignment="1">
      <alignment horizontal="center"/>
    </xf>
    <xf numFmtId="0" fontId="1" fillId="0" borderId="0" xfId="9" applyFont="1"/>
    <xf numFmtId="0" fontId="1" fillId="4" borderId="0" xfId="9" applyFont="1" applyFill="1"/>
    <xf numFmtId="0" fontId="1" fillId="4" borderId="8" xfId="9" applyFont="1" applyFill="1" applyBorder="1"/>
    <xf numFmtId="0" fontId="2" fillId="0" borderId="0" xfId="9" applyFont="1"/>
    <xf numFmtId="171" fontId="1" fillId="4" borderId="0" xfId="9" applyNumberFormat="1" applyFont="1" applyFill="1"/>
    <xf numFmtId="9" fontId="1" fillId="0" borderId="0" xfId="9" applyNumberFormat="1" applyFont="1"/>
    <xf numFmtId="2" fontId="1" fillId="0" borderId="0" xfId="1" applyNumberFormat="1" applyFont="1"/>
    <xf numFmtId="10" fontId="1" fillId="0" borderId="0" xfId="9" applyNumberFormat="1" applyFont="1"/>
    <xf numFmtId="170" fontId="1" fillId="4" borderId="8" xfId="9" applyNumberFormat="1" applyFont="1" applyFill="1" applyBorder="1"/>
    <xf numFmtId="0" fontId="2" fillId="0" borderId="8" xfId="9" applyFont="1" applyBorder="1" applyAlignment="1">
      <alignment horizontal="right"/>
    </xf>
    <xf numFmtId="0" fontId="1" fillId="0" borderId="8" xfId="9" applyFont="1" applyBorder="1"/>
    <xf numFmtId="0" fontId="1" fillId="13" borderId="8" xfId="9" applyFont="1" applyFill="1" applyBorder="1"/>
    <xf numFmtId="0" fontId="2" fillId="13" borderId="8" xfId="9" applyFont="1" applyFill="1" applyBorder="1"/>
    <xf numFmtId="10" fontId="11" fillId="0" borderId="0" xfId="9" applyNumberFormat="1" applyFont="1" applyAlignment="1">
      <alignment horizontal="center"/>
    </xf>
    <xf numFmtId="170" fontId="1" fillId="13" borderId="8" xfId="9" applyNumberFormat="1" applyFont="1" applyFill="1" applyBorder="1"/>
    <xf numFmtId="2" fontId="1" fillId="0" borderId="0" xfId="9" applyNumberFormat="1" applyFont="1" applyAlignment="1">
      <alignment horizontal="center"/>
    </xf>
    <xf numFmtId="2" fontId="1" fillId="0" borderId="0" xfId="9" applyNumberFormat="1" applyFont="1"/>
    <xf numFmtId="164" fontId="1" fillId="0" borderId="0" xfId="9" applyNumberFormat="1" applyFont="1"/>
    <xf numFmtId="2" fontId="1" fillId="0" borderId="0" xfId="1" applyNumberFormat="1" applyFont="1" applyFill="1" applyBorder="1"/>
    <xf numFmtId="10" fontId="1" fillId="0" borderId="0" xfId="1" applyNumberFormat="1" applyFont="1" applyFill="1" applyBorder="1"/>
    <xf numFmtId="0" fontId="0" fillId="0" borderId="0" xfId="9" applyFont="1" applyAlignment="1">
      <alignment horizontal="right"/>
    </xf>
    <xf numFmtId="10" fontId="1" fillId="3" borderId="0" xfId="1" applyNumberFormat="1" applyFont="1" applyFill="1" applyBorder="1"/>
    <xf numFmtId="0" fontId="2" fillId="3" borderId="1" xfId="9" applyFont="1" applyFill="1" applyBorder="1"/>
    <xf numFmtId="0" fontId="1" fillId="3" borderId="1" xfId="9" applyFont="1" applyFill="1" applyBorder="1"/>
    <xf numFmtId="0" fontId="1" fillId="0" borderId="0" xfId="9" applyFont="1" applyAlignment="1">
      <alignment horizontal="center"/>
    </xf>
    <xf numFmtId="171" fontId="1" fillId="0" borderId="0" xfId="9" applyNumberFormat="1" applyFont="1"/>
    <xf numFmtId="0" fontId="2" fillId="3" borderId="0" xfId="9" applyFont="1" applyFill="1" applyAlignment="1">
      <alignment horizontal="right"/>
    </xf>
    <xf numFmtId="10" fontId="1" fillId="3" borderId="0" xfId="9" applyNumberFormat="1" applyFont="1" applyFill="1"/>
    <xf numFmtId="2" fontId="1" fillId="4" borderId="0" xfId="9" applyNumberFormat="1" applyFont="1" applyFill="1" applyAlignment="1">
      <alignment horizontal="center"/>
    </xf>
    <xf numFmtId="0" fontId="10" fillId="0" borderId="0" xfId="9" applyFont="1"/>
    <xf numFmtId="170" fontId="1" fillId="0" borderId="0" xfId="9" applyNumberFormat="1" applyFont="1"/>
    <xf numFmtId="170" fontId="1" fillId="3" borderId="0" xfId="9" applyNumberFormat="1" applyFont="1" applyFill="1"/>
    <xf numFmtId="170" fontId="1" fillId="4" borderId="0" xfId="9" applyNumberFormat="1" applyFont="1" applyFill="1"/>
    <xf numFmtId="170" fontId="1" fillId="0" borderId="8" xfId="9" applyNumberFormat="1" applyFont="1" applyBorder="1"/>
    <xf numFmtId="0" fontId="1" fillId="0" borderId="0" xfId="9" applyFont="1" applyAlignment="1">
      <alignment horizontal="left"/>
    </xf>
    <xf numFmtId="9" fontId="11" fillId="0" borderId="0" xfId="9" applyNumberFormat="1" applyFont="1"/>
    <xf numFmtId="174" fontId="0" fillId="0" borderId="0" xfId="0" applyNumberFormat="1"/>
    <xf numFmtId="174" fontId="0" fillId="4" borderId="0" xfId="0" applyNumberFormat="1" applyFill="1"/>
    <xf numFmtId="14" fontId="0" fillId="0" borderId="0" xfId="0" applyNumberFormat="1" applyAlignment="1">
      <alignment horizontal="right"/>
    </xf>
    <xf numFmtId="171" fontId="0" fillId="0" borderId="0" xfId="1" applyNumberFormat="1" applyFont="1" applyFill="1"/>
    <xf numFmtId="171" fontId="0" fillId="0" borderId="0" xfId="1" applyNumberFormat="1" applyFont="1" applyFill="1" applyBorder="1" applyAlignment="1">
      <alignment horizontal="center"/>
    </xf>
    <xf numFmtId="2" fontId="0" fillId="0" borderId="0" xfId="1" applyNumberFormat="1" applyFont="1" applyFill="1"/>
    <xf numFmtId="10" fontId="0" fillId="0" borderId="0" xfId="1" applyNumberFormat="1" applyFont="1" applyFill="1" applyAlignment="1">
      <alignment horizontal="center"/>
    </xf>
    <xf numFmtId="10" fontId="0" fillId="0" borderId="0" xfId="1" applyNumberFormat="1" applyFont="1" applyFill="1"/>
    <xf numFmtId="0" fontId="6" fillId="0" borderId="0" xfId="0" applyFont="1" applyAlignment="1">
      <alignment horizontal="center"/>
    </xf>
    <xf numFmtId="10" fontId="2" fillId="0" borderId="0" xfId="1" applyNumberFormat="1" applyFont="1" applyFill="1" applyAlignment="1">
      <alignment horizontal="center"/>
    </xf>
    <xf numFmtId="171" fontId="0" fillId="6" borderId="0" xfId="1" applyNumberFormat="1" applyFont="1" applyFill="1" applyBorder="1" applyAlignment="1">
      <alignment horizontal="center"/>
    </xf>
    <xf numFmtId="10" fontId="0" fillId="6" borderId="0" xfId="0" applyNumberFormat="1" applyFill="1" applyAlignment="1">
      <alignment horizontal="center"/>
    </xf>
    <xf numFmtId="0" fontId="10" fillId="7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right"/>
    </xf>
    <xf numFmtId="165" fontId="0" fillId="0" borderId="0" xfId="4" applyFont="1" applyFill="1"/>
    <xf numFmtId="9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71" fontId="0" fillId="0" borderId="0" xfId="0" applyNumberFormat="1" applyAlignment="1">
      <alignment horizontal="left"/>
    </xf>
    <xf numFmtId="170" fontId="5" fillId="0" borderId="0" xfId="0" applyNumberFormat="1" applyFont="1" applyAlignment="1">
      <alignment horizontal="center"/>
    </xf>
    <xf numFmtId="0" fontId="5" fillId="0" borderId="0" xfId="0" applyFont="1"/>
    <xf numFmtId="10" fontId="0" fillId="6" borderId="1" xfId="0" applyNumberForma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0" fillId="2" borderId="1" xfId="0" applyNumberFormat="1" applyFill="1" applyBorder="1" applyAlignment="1">
      <alignment horizontal="center"/>
    </xf>
    <xf numFmtId="0" fontId="10" fillId="7" borderId="0" xfId="0" applyFont="1" applyFill="1" applyAlignment="1">
      <alignment horizontal="right"/>
    </xf>
    <xf numFmtId="0" fontId="10" fillId="0" borderId="0" xfId="0" applyFont="1" applyAlignment="1">
      <alignment horizontal="right"/>
    </xf>
    <xf numFmtId="2" fontId="5" fillId="0" borderId="0" xfId="0" applyNumberFormat="1" applyFont="1" applyAlignment="1">
      <alignment horizontal="center"/>
    </xf>
    <xf numFmtId="2" fontId="5" fillId="0" borderId="1" xfId="0" applyNumberFormat="1" applyFont="1" applyBorder="1" applyAlignment="1">
      <alignment horizontal="center"/>
    </xf>
    <xf numFmtId="10" fontId="5" fillId="4" borderId="1" xfId="1" applyNumberFormat="1" applyFont="1" applyFill="1" applyBorder="1" applyAlignment="1">
      <alignment horizontal="center"/>
    </xf>
    <xf numFmtId="171" fontId="0" fillId="6" borderId="0" xfId="0" applyNumberFormat="1" applyFill="1" applyAlignment="1">
      <alignment horizontal="center"/>
    </xf>
    <xf numFmtId="171" fontId="0" fillId="6" borderId="1" xfId="0" applyNumberFormat="1" applyFill="1" applyBorder="1" applyAlignment="1">
      <alignment horizontal="center"/>
    </xf>
    <xf numFmtId="171" fontId="0" fillId="6" borderId="0" xfId="1" applyNumberFormat="1" applyFont="1" applyFill="1" applyAlignment="1">
      <alignment horizontal="center"/>
    </xf>
    <xf numFmtId="171" fontId="0" fillId="6" borderId="1" xfId="1" applyNumberFormat="1" applyFont="1" applyFill="1" applyBorder="1" applyAlignment="1">
      <alignment horizontal="center"/>
    </xf>
    <xf numFmtId="171" fontId="0" fillId="6" borderId="0" xfId="7" applyNumberFormat="1" applyFont="1" applyFill="1" applyAlignment="1">
      <alignment horizontal="center"/>
    </xf>
    <xf numFmtId="2" fontId="15" fillId="14" borderId="0" xfId="6" applyNumberFormat="1" applyFill="1" applyAlignment="1">
      <alignment horizontal="center" vertical="center"/>
    </xf>
    <xf numFmtId="166" fontId="17" fillId="14" borderId="1" xfId="6" applyNumberFormat="1" applyFont="1" applyFill="1" applyBorder="1" applyAlignment="1">
      <alignment horizontal="center" vertical="center"/>
    </xf>
    <xf numFmtId="0" fontId="16" fillId="14" borderId="6" xfId="6" applyFont="1" applyFill="1" applyBorder="1" applyAlignment="1">
      <alignment horizontal="center" vertical="center"/>
    </xf>
    <xf numFmtId="10" fontId="0" fillId="14" borderId="0" xfId="0" applyNumberFormat="1" applyFill="1" applyAlignment="1">
      <alignment horizontal="center" vertical="center"/>
    </xf>
    <xf numFmtId="0" fontId="38" fillId="0" borderId="0" xfId="3" applyFont="1"/>
    <xf numFmtId="0" fontId="39" fillId="0" borderId="0" xfId="3" applyFont="1" applyAlignment="1">
      <alignment horizontal="right"/>
    </xf>
    <xf numFmtId="166" fontId="40" fillId="0" borderId="0" xfId="17" applyNumberFormat="1" applyFont="1" applyFill="1"/>
    <xf numFmtId="0" fontId="38" fillId="4" borderId="0" xfId="3" applyFont="1" applyFill="1"/>
    <xf numFmtId="176" fontId="38" fillId="9" borderId="0" xfId="3" applyNumberFormat="1" applyFont="1" applyFill="1"/>
    <xf numFmtId="43" fontId="40" fillId="0" borderId="0" xfId="18" applyFont="1" applyFill="1"/>
    <xf numFmtId="168" fontId="38" fillId="0" borderId="0" xfId="3" applyNumberFormat="1" applyFont="1"/>
    <xf numFmtId="14" fontId="38" fillId="0" borderId="0" xfId="3" applyNumberFormat="1" applyFont="1"/>
    <xf numFmtId="14" fontId="38" fillId="9" borderId="0" xfId="3" applyNumberFormat="1" applyFont="1" applyFill="1"/>
    <xf numFmtId="176" fontId="38" fillId="0" borderId="0" xfId="3" applyNumberFormat="1" applyFont="1"/>
    <xf numFmtId="0" fontId="39" fillId="0" borderId="0" xfId="3" applyFont="1" applyAlignment="1">
      <alignment horizontal="center"/>
    </xf>
    <xf numFmtId="170" fontId="38" fillId="0" borderId="0" xfId="3" applyNumberFormat="1" applyFont="1"/>
    <xf numFmtId="179" fontId="10" fillId="10" borderId="0" xfId="10" applyNumberFormat="1" applyFont="1">
      <alignment horizontal="left" vertical="top"/>
    </xf>
    <xf numFmtId="179" fontId="1" fillId="0" borderId="0" xfId="19" applyFont="1">
      <alignment horizontal="right" vertical="top"/>
    </xf>
    <xf numFmtId="179" fontId="42" fillId="0" borderId="0" xfId="20" applyNumberFormat="1" applyFont="1" applyAlignment="1" applyProtection="1">
      <alignment horizontal="left" vertical="top"/>
    </xf>
    <xf numFmtId="179" fontId="1" fillId="0" borderId="0" xfId="19" applyFont="1" applyAlignment="1"/>
    <xf numFmtId="183" fontId="43" fillId="0" borderId="0" xfId="19" applyNumberFormat="1" applyFont="1" applyAlignment="1">
      <alignment horizontal="center"/>
    </xf>
    <xf numFmtId="169" fontId="1" fillId="0" borderId="0" xfId="19" applyNumberFormat="1" applyFont="1" applyAlignment="1"/>
    <xf numFmtId="183" fontId="1" fillId="0" borderId="0" xfId="19" applyNumberFormat="1" applyFont="1" applyAlignment="1">
      <alignment horizontal="center"/>
    </xf>
    <xf numFmtId="179" fontId="5" fillId="0" borderId="0" xfId="19" applyFont="1" applyAlignment="1"/>
    <xf numFmtId="183" fontId="5" fillId="0" borderId="0" xfId="19" applyNumberFormat="1" applyFont="1" applyAlignment="1">
      <alignment horizontal="center"/>
    </xf>
    <xf numFmtId="179" fontId="43" fillId="0" borderId="0" xfId="19" applyFont="1" applyAlignment="1"/>
    <xf numFmtId="179" fontId="44" fillId="0" borderId="0" xfId="19" applyFont="1" applyAlignment="1">
      <alignment horizontal="center" vertical="center" wrapText="1" readingOrder="1"/>
    </xf>
    <xf numFmtId="184" fontId="44" fillId="0" borderId="0" xfId="19" applyNumberFormat="1" applyFont="1" applyAlignment="1">
      <alignment horizontal="center" vertical="center" wrapText="1" readingOrder="1"/>
    </xf>
    <xf numFmtId="184" fontId="43" fillId="0" borderId="0" xfId="19" applyNumberFormat="1" applyFont="1" applyAlignment="1">
      <alignment horizontal="center" vertical="center" wrapText="1" readingOrder="1"/>
    </xf>
    <xf numFmtId="179" fontId="1" fillId="0" borderId="0" xfId="19" applyFont="1" applyAlignment="1">
      <alignment horizontal="left" vertical="top"/>
    </xf>
    <xf numFmtId="171" fontId="1" fillId="0" borderId="0" xfId="21" applyNumberFormat="1" applyFont="1" applyAlignment="1">
      <alignment horizontal="right" vertical="top"/>
    </xf>
    <xf numFmtId="179" fontId="2" fillId="0" borderId="0" xfId="19" applyFont="1">
      <alignment horizontal="right" vertical="top"/>
    </xf>
    <xf numFmtId="15" fontId="11" fillId="11" borderId="0" xfId="13" applyNumberFormat="1" applyFont="1" applyBorder="1" applyAlignment="1">
      <alignment horizontal="right" vertical="top"/>
    </xf>
    <xf numFmtId="179" fontId="1" fillId="0" borderId="0" xfId="14" applyNumberFormat="1" applyFont="1">
      <alignment horizontal="left" vertical="center"/>
    </xf>
    <xf numFmtId="179" fontId="0" fillId="0" borderId="0" xfId="19" applyFont="1">
      <alignment horizontal="right" vertical="top"/>
    </xf>
    <xf numFmtId="2" fontId="11" fillId="11" borderId="0" xfId="13" applyNumberFormat="1" applyFont="1" applyBorder="1" applyAlignment="1">
      <alignment horizontal="right" vertical="top"/>
    </xf>
    <xf numFmtId="166" fontId="11" fillId="11" borderId="0" xfId="13" applyNumberFormat="1" applyFont="1" applyBorder="1" applyAlignment="1">
      <alignment horizontal="right" vertical="top"/>
    </xf>
    <xf numFmtId="15" fontId="11" fillId="0" borderId="0" xfId="13" applyNumberFormat="1" applyFont="1" applyFill="1" applyBorder="1" applyAlignment="1">
      <alignment horizontal="right" vertical="top"/>
    </xf>
    <xf numFmtId="15" fontId="1" fillId="0" borderId="0" xfId="13" applyNumberFormat="1" applyFont="1" applyFill="1" applyBorder="1" applyAlignment="1">
      <alignment horizontal="right" vertical="top"/>
    </xf>
    <xf numFmtId="2" fontId="1" fillId="0" borderId="0" xfId="13" applyNumberFormat="1" applyFont="1" applyFill="1" applyBorder="1" applyAlignment="1">
      <alignment horizontal="right" vertical="top"/>
    </xf>
    <xf numFmtId="185" fontId="1" fillId="4" borderId="0" xfId="22" applyNumberFormat="1" applyFont="1" applyFill="1" applyBorder="1" applyAlignment="1">
      <alignment horizontal="right" vertical="top"/>
    </xf>
    <xf numFmtId="179" fontId="1" fillId="9" borderId="0" xfId="19" applyFont="1" applyFill="1">
      <alignment horizontal="right" vertical="top"/>
    </xf>
    <xf numFmtId="184" fontId="11" fillId="0" borderId="0" xfId="13" applyNumberFormat="1" applyFont="1" applyFill="1" applyBorder="1" applyAlignment="1">
      <alignment horizontal="right" vertical="top"/>
    </xf>
    <xf numFmtId="179" fontId="1" fillId="0" borderId="0" xfId="14" applyNumberFormat="1" applyFont="1" applyFill="1">
      <alignment horizontal="left" vertical="center"/>
    </xf>
    <xf numFmtId="185" fontId="1" fillId="0" borderId="0" xfId="22" applyNumberFormat="1" applyFont="1" applyFill="1" applyBorder="1" applyAlignment="1">
      <alignment horizontal="right" vertical="top"/>
    </xf>
    <xf numFmtId="15" fontId="2" fillId="0" borderId="0" xfId="13" applyNumberFormat="1" applyFont="1" applyFill="1" applyBorder="1" applyAlignment="1">
      <alignment horizontal="right" vertical="top"/>
    </xf>
    <xf numFmtId="14" fontId="1" fillId="0" borderId="0" xfId="19" applyNumberFormat="1" applyFont="1">
      <alignment horizontal="right" vertical="top"/>
    </xf>
    <xf numFmtId="186" fontId="1" fillId="0" borderId="0" xfId="19" applyNumberFormat="1" applyFont="1">
      <alignment horizontal="right" vertical="top"/>
    </xf>
    <xf numFmtId="185" fontId="1" fillId="0" borderId="0" xfId="19" applyNumberFormat="1" applyFont="1">
      <alignment horizontal="right" vertical="top"/>
    </xf>
    <xf numFmtId="186" fontId="1" fillId="4" borderId="0" xfId="22" applyNumberFormat="1" applyFont="1" applyFill="1" applyBorder="1" applyAlignment="1">
      <alignment horizontal="right" vertical="top"/>
    </xf>
    <xf numFmtId="2" fontId="1" fillId="0" borderId="0" xfId="19" applyNumberFormat="1" applyFont="1">
      <alignment horizontal="right" vertical="top"/>
    </xf>
    <xf numFmtId="187" fontId="1" fillId="0" borderId="0" xfId="19" applyNumberFormat="1" applyFont="1">
      <alignment horizontal="right" vertical="top"/>
    </xf>
    <xf numFmtId="170" fontId="11" fillId="11" borderId="0" xfId="13" applyNumberFormat="1" applyFont="1" applyBorder="1" applyAlignment="1">
      <alignment horizontal="right" vertical="top"/>
    </xf>
    <xf numFmtId="186" fontId="1" fillId="0" borderId="0" xfId="22" applyNumberFormat="1" applyFont="1" applyFill="1" applyBorder="1" applyAlignment="1">
      <alignment horizontal="right" vertical="top"/>
    </xf>
    <xf numFmtId="166" fontId="0" fillId="0" borderId="0" xfId="22" applyNumberFormat="1" applyFont="1" applyFill="1" applyBorder="1" applyAlignment="1">
      <alignment horizontal="right" vertical="top"/>
    </xf>
    <xf numFmtId="166" fontId="0" fillId="0" borderId="0" xfId="1" applyNumberFormat="1" applyFont="1" applyBorder="1" applyAlignment="1">
      <alignment horizontal="center"/>
    </xf>
    <xf numFmtId="166" fontId="0" fillId="0" borderId="9" xfId="1" applyNumberFormat="1" applyFont="1" applyBorder="1" applyAlignment="1">
      <alignment horizontal="center"/>
    </xf>
    <xf numFmtId="166" fontId="0" fillId="0" borderId="10" xfId="1" applyNumberFormat="1" applyFont="1" applyBorder="1" applyAlignment="1">
      <alignment horizontal="center"/>
    </xf>
    <xf numFmtId="166" fontId="0" fillId="0" borderId="11" xfId="1" applyNumberFormat="1" applyFont="1" applyBorder="1" applyAlignment="1">
      <alignment horizontal="center"/>
    </xf>
    <xf numFmtId="173" fontId="1" fillId="0" borderId="0" xfId="13" applyNumberFormat="1" applyFont="1" applyFill="1" applyBorder="1" applyAlignment="1">
      <alignment horizontal="right" vertical="top"/>
    </xf>
    <xf numFmtId="0" fontId="45" fillId="7" borderId="0" xfId="10" applyFont="1" applyFill="1">
      <alignment horizontal="left" vertical="top"/>
    </xf>
    <xf numFmtId="179" fontId="45" fillId="7" borderId="0" xfId="10" applyNumberFormat="1" applyFont="1" applyFill="1">
      <alignment horizontal="left" vertical="top"/>
    </xf>
    <xf numFmtId="179" fontId="15" fillId="0" borderId="0" xfId="11" applyFont="1">
      <alignment horizontal="right" vertical="top"/>
    </xf>
    <xf numFmtId="179" fontId="16" fillId="0" borderId="0" xfId="11" applyFont="1">
      <alignment horizontal="right" vertical="top"/>
    </xf>
    <xf numFmtId="10" fontId="16" fillId="0" borderId="0" xfId="12" applyFont="1">
      <alignment horizontal="center" vertical="top" wrapText="1"/>
    </xf>
    <xf numFmtId="179" fontId="16" fillId="0" borderId="0" xfId="11" applyFont="1" applyAlignment="1">
      <alignment horizontal="center" vertical="top"/>
    </xf>
    <xf numFmtId="187" fontId="15" fillId="0" borderId="0" xfId="11" applyNumberFormat="1" applyFont="1">
      <alignment horizontal="right" vertical="top"/>
    </xf>
    <xf numFmtId="10" fontId="15" fillId="0" borderId="0" xfId="12" applyFont="1">
      <alignment horizontal="center" vertical="top" wrapText="1"/>
    </xf>
    <xf numFmtId="10" fontId="15" fillId="11" borderId="0" xfId="13" applyNumberFormat="1" applyFont="1" applyBorder="1" applyAlignment="1">
      <alignment horizontal="center" vertical="top" wrapText="1"/>
    </xf>
    <xf numFmtId="10" fontId="45" fillId="16" borderId="0" xfId="12" applyFont="1" applyFill="1">
      <alignment horizontal="center" vertical="top" wrapText="1"/>
    </xf>
    <xf numFmtId="10" fontId="45" fillId="16" borderId="0" xfId="12" applyFont="1" applyFill="1" applyAlignment="1">
      <alignment horizontal="center" vertical="top"/>
    </xf>
    <xf numFmtId="10" fontId="16" fillId="0" borderId="0" xfId="12" applyFont="1" applyAlignment="1">
      <alignment horizontal="center" vertical="top"/>
    </xf>
    <xf numFmtId="179" fontId="15" fillId="0" borderId="0" xfId="11" applyFont="1" applyAlignment="1">
      <alignment horizontal="left" vertical="top"/>
    </xf>
    <xf numFmtId="179" fontId="15" fillId="0" borderId="0" xfId="11" applyFont="1" applyAlignment="1">
      <alignment vertical="top"/>
    </xf>
    <xf numFmtId="10" fontId="15" fillId="0" borderId="0" xfId="12" applyFont="1" applyAlignment="1">
      <alignment horizontal="right" vertical="top" wrapText="1"/>
    </xf>
    <xf numFmtId="179" fontId="15" fillId="0" borderId="0" xfId="11" applyFont="1" applyAlignment="1">
      <alignment horizontal="center" vertical="top"/>
    </xf>
    <xf numFmtId="185" fontId="15" fillId="0" borderId="0" xfId="11" applyNumberFormat="1" applyFont="1" applyAlignment="1">
      <alignment horizontal="center" vertical="top"/>
    </xf>
    <xf numFmtId="185" fontId="16" fillId="0" borderId="0" xfId="11" applyNumberFormat="1" applyFont="1" applyAlignment="1">
      <alignment horizontal="center" vertical="top"/>
    </xf>
    <xf numFmtId="187" fontId="15" fillId="11" borderId="0" xfId="13" applyNumberFormat="1" applyFont="1" applyBorder="1" applyAlignment="1">
      <alignment horizontal="center" vertical="top"/>
    </xf>
    <xf numFmtId="179" fontId="19" fillId="11" borderId="0" xfId="13" applyFont="1" applyBorder="1" applyAlignment="1">
      <alignment horizontal="center" vertical="top"/>
    </xf>
    <xf numFmtId="179" fontId="16" fillId="0" borderId="0" xfId="14" applyNumberFormat="1" applyFont="1">
      <alignment horizontal="left" vertical="center"/>
    </xf>
    <xf numFmtId="187" fontId="15" fillId="4" borderId="0" xfId="11" applyNumberFormat="1" applyFont="1" applyFill="1" applyAlignment="1">
      <alignment horizontal="center" vertical="top"/>
    </xf>
    <xf numFmtId="187" fontId="15" fillId="0" borderId="0" xfId="11" applyNumberFormat="1" applyFont="1" applyAlignment="1">
      <alignment horizontal="center" vertical="top"/>
    </xf>
    <xf numFmtId="179" fontId="15" fillId="0" borderId="0" xfId="14" applyNumberFormat="1" applyFont="1">
      <alignment horizontal="left" vertical="center"/>
    </xf>
    <xf numFmtId="10" fontId="15" fillId="0" borderId="0" xfId="12" applyFont="1" applyAlignment="1">
      <alignment horizontal="center" vertical="top"/>
    </xf>
    <xf numFmtId="179" fontId="15" fillId="0" borderId="0" xfId="11" applyFont="1" applyAlignment="1">
      <alignment horizontal="left"/>
    </xf>
    <xf numFmtId="187" fontId="16" fillId="17" borderId="12" xfId="11" applyNumberFormat="1" applyFont="1" applyFill="1" applyBorder="1" applyAlignment="1">
      <alignment horizontal="center" vertical="top"/>
    </xf>
    <xf numFmtId="187" fontId="19" fillId="11" borderId="0" xfId="13" applyNumberFormat="1" applyFont="1" applyBorder="1" applyAlignment="1">
      <alignment horizontal="center" vertical="top"/>
    </xf>
    <xf numFmtId="10" fontId="19" fillId="11" borderId="0" xfId="13" applyNumberFormat="1" applyFont="1" applyBorder="1" applyAlignment="1">
      <alignment horizontal="center" vertical="top"/>
    </xf>
    <xf numFmtId="187" fontId="16" fillId="4" borderId="0" xfId="11" applyNumberFormat="1" applyFont="1" applyFill="1" applyAlignment="1">
      <alignment horizontal="center" vertical="top"/>
    </xf>
    <xf numFmtId="179" fontId="16" fillId="0" borderId="0" xfId="11" applyFont="1" applyAlignment="1">
      <alignment horizontal="left" vertical="top"/>
    </xf>
    <xf numFmtId="179" fontId="16" fillId="17" borderId="12" xfId="11" applyFont="1" applyFill="1" applyBorder="1" applyAlignment="1">
      <alignment horizontal="center" vertical="top"/>
    </xf>
  </cellXfs>
  <cellStyles count="23">
    <cellStyle name="Banner" xfId="10" xr:uid="{40F511A9-9BE4-45CF-A9AE-BEACA07B79FA}"/>
    <cellStyle name="Comma" xfId="4" builtinId="3"/>
    <cellStyle name="Comma 2" xfId="5" xr:uid="{7F50F68F-52F0-4B7F-B74B-6D2E01FAFDBA}"/>
    <cellStyle name="Comma 2 2" xfId="18" xr:uid="{58C3A365-EE2B-4EAC-BE72-07468F72E498}"/>
    <cellStyle name="Comma 3" xfId="16" xr:uid="{1748FE14-007E-4BBF-923F-951FA0090211}"/>
    <cellStyle name="Comment" xfId="14" xr:uid="{55A94FD5-D6CC-44CC-8B02-C64038411444}"/>
    <cellStyle name="Formula" xfId="22" xr:uid="{82274410-4D74-49E3-A801-749EA47E9DF5}"/>
    <cellStyle name="Hyperlink" xfId="2" builtinId="8"/>
    <cellStyle name="Hyperlink 2" xfId="20" xr:uid="{00E76319-C8CD-42C5-B45D-D3A8CC9C5ED7}"/>
    <cellStyle name="Input Number" xfId="13" xr:uid="{41EB7851-D2E8-4311-962E-838CA5BF13C3}"/>
    <cellStyle name="Normal" xfId="0" builtinId="0"/>
    <cellStyle name="Normal 2" xfId="3" xr:uid="{DF9CFBA1-B0A4-4BAB-915C-71C5EC8A0353}"/>
    <cellStyle name="Normal 2 2" xfId="6" xr:uid="{961BE63A-D4D8-4A0F-BF48-36BD0E56B387}"/>
    <cellStyle name="Normal 2 2 2" xfId="9" xr:uid="{5C88EAD7-8D2E-4C0B-B827-80DA4AA127D0}"/>
    <cellStyle name="Normal 3" xfId="15" xr:uid="{189138B3-9EBE-4FBD-8D7D-350A1F1ADA0B}"/>
    <cellStyle name="Normal 4" xfId="11" xr:uid="{5FE84D5B-A955-49E1-9DEC-DE200DD40C76}"/>
    <cellStyle name="Normal 5" xfId="19" xr:uid="{6C07A0A8-94BC-4327-B0CF-4AED6A1FA9A9}"/>
    <cellStyle name="Percent" xfId="1" builtinId="5"/>
    <cellStyle name="Percent 2" xfId="8" xr:uid="{3AE90EA1-54DF-4A1F-B2EC-32313C445E84}"/>
    <cellStyle name="Percent 2 2" xfId="17" xr:uid="{39FC2134-9F8B-45C9-BD57-28F7CBA7A8CC}"/>
    <cellStyle name="Percent 3" xfId="7" xr:uid="{7F6FDE8B-CD06-4726-B354-AE484208705A}"/>
    <cellStyle name="Percent 3 2" xfId="21" xr:uid="{CEFFB7E5-790E-45BE-913C-F7315921C1CB}"/>
    <cellStyle name="Percent 5 2" xfId="12" xr:uid="{D56FFA37-1B16-4368-9F24-5B73663A0CEF}"/>
  </cellStyles>
  <dxfs count="0"/>
  <tableStyles count="0" defaultTableStyle="TableStyleMedium2" defaultPivotStyle="PivotStyleLight16"/>
  <colors>
    <mruColors>
      <color rgb="FFCC99FF"/>
      <color rgb="FFFFFF66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1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Your term structure , consensus and actual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1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'Your &amp; cons term structure'!$K$3</c:f>
              <c:strCache>
                <c:ptCount val="1"/>
                <c:pt idx="0">
                  <c:v>Your term structure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'Your &amp; cons term structure'!$J$4:$J$9</c:f>
              <c:numCache>
                <c:formatCode>General</c:formatCode>
                <c:ptCount val="6"/>
                <c:pt idx="0">
                  <c:v>7</c:v>
                </c:pt>
                <c:pt idx="1">
                  <c:v>30</c:v>
                </c:pt>
                <c:pt idx="2">
                  <c:v>91</c:v>
                </c:pt>
                <c:pt idx="3">
                  <c:v>183</c:v>
                </c:pt>
                <c:pt idx="4">
                  <c:v>365</c:v>
                </c:pt>
                <c:pt idx="5">
                  <c:v>730</c:v>
                </c:pt>
              </c:numCache>
            </c:numRef>
          </c:xVal>
          <c:yVal>
            <c:numRef>
              <c:f>'Your &amp; cons term structure'!$K$4:$K$9</c:f>
              <c:numCache>
                <c:formatCode>0.0000%</c:formatCode>
                <c:ptCount val="6"/>
                <c:pt idx="0">
                  <c:v>4.3313394040292205E-2</c:v>
                </c:pt>
                <c:pt idx="1">
                  <c:v>4.3373511175217594E-2</c:v>
                </c:pt>
                <c:pt idx="2">
                  <c:v>4.3532943874436264E-2</c:v>
                </c:pt>
                <c:pt idx="3">
                  <c:v>4.3775119937745598E-2</c:v>
                </c:pt>
                <c:pt idx="4">
                  <c:v>4.4259482289524636E-2</c:v>
                </c:pt>
                <c:pt idx="5">
                  <c:v>4.5180834547453412E-2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9F1-4D90-8CA4-4766B3B20393}"/>
            </c:ext>
          </c:extLst>
        </c:ser>
        <c:ser>
          <c:idx val="1"/>
          <c:order val="1"/>
          <c:tx>
            <c:strRef>
              <c:f>'Your &amp; cons term structure'!$L$3</c:f>
              <c:strCache>
                <c:ptCount val="1"/>
                <c:pt idx="0">
                  <c:v>Consensus from room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'Your &amp; cons term structure'!$J$4:$J$9</c:f>
              <c:numCache>
                <c:formatCode>General</c:formatCode>
                <c:ptCount val="6"/>
                <c:pt idx="0">
                  <c:v>7</c:v>
                </c:pt>
                <c:pt idx="1">
                  <c:v>30</c:v>
                </c:pt>
                <c:pt idx="2">
                  <c:v>91</c:v>
                </c:pt>
                <c:pt idx="3">
                  <c:v>183</c:v>
                </c:pt>
                <c:pt idx="4">
                  <c:v>365</c:v>
                </c:pt>
                <c:pt idx="5">
                  <c:v>730</c:v>
                </c:pt>
              </c:numCache>
            </c:numRef>
          </c:xVal>
          <c:yVal>
            <c:numRef>
              <c:f>'Your &amp; cons term structure'!$L$4:$L$9</c:f>
              <c:numCache>
                <c:formatCode>0.0000%</c:formatCode>
                <c:ptCount val="6"/>
                <c:pt idx="0">
                  <c:v>4.3313394040292205E-2</c:v>
                </c:pt>
                <c:pt idx="1">
                  <c:v>4.3373511175217594E-2</c:v>
                </c:pt>
                <c:pt idx="2">
                  <c:v>4.3532943874436264E-2</c:v>
                </c:pt>
                <c:pt idx="3">
                  <c:v>4.3775119937745598E-2</c:v>
                </c:pt>
                <c:pt idx="4">
                  <c:v>4.4259482289524636E-2</c:v>
                </c:pt>
                <c:pt idx="5">
                  <c:v>4.5180834547453412E-2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9F1-4D90-8CA4-4766B3B20393}"/>
            </c:ext>
          </c:extLst>
        </c:ser>
        <c:ser>
          <c:idx val="2"/>
          <c:order val="2"/>
          <c:tx>
            <c:strRef>
              <c:f>'Your &amp; cons term structure'!$M$3</c:f>
              <c:strCache>
                <c:ptCount val="1"/>
                <c:pt idx="0">
                  <c:v>Actual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'Your &amp; cons term structure'!$J$4:$J$9</c:f>
              <c:numCache>
                <c:formatCode>General</c:formatCode>
                <c:ptCount val="6"/>
                <c:pt idx="0">
                  <c:v>7</c:v>
                </c:pt>
                <c:pt idx="1">
                  <c:v>30</c:v>
                </c:pt>
                <c:pt idx="2">
                  <c:v>91</c:v>
                </c:pt>
                <c:pt idx="3">
                  <c:v>183</c:v>
                </c:pt>
                <c:pt idx="4">
                  <c:v>365</c:v>
                </c:pt>
                <c:pt idx="5">
                  <c:v>730</c:v>
                </c:pt>
              </c:numCache>
            </c:numRef>
          </c:xVal>
          <c:yVal>
            <c:numRef>
              <c:f>'Your &amp; cons term structure'!$M$4:$M$9</c:f>
              <c:numCache>
                <c:formatCode>General</c:formatCode>
                <c:ptCount val="6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9F1-4D90-8CA4-4766B3B20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282527"/>
        <c:axId val="147283007"/>
      </c:scatterChart>
      <c:valAx>
        <c:axId val="147282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283007"/>
        <c:crosses val="autoZero"/>
        <c:crossBetween val="midCat"/>
      </c:valAx>
      <c:valAx>
        <c:axId val="14728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28252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6141540112135226E-2"/>
          <c:y val="9.8602336092964236E-3"/>
          <c:w val="0.95811797942881194"/>
          <c:h val="0.89754121070183435"/>
        </c:manualLayout>
      </c:layout>
      <c:scatterChart>
        <c:scatterStyle val="lineMarker"/>
        <c:varyColors val="0"/>
        <c:ser>
          <c:idx val="1"/>
          <c:order val="0"/>
          <c:tx>
            <c:strRef>
              <c:f>'Clean and dirty const YTM'!$R$2</c:f>
              <c:strCache>
                <c:ptCount val="1"/>
                <c:pt idx="0">
                  <c:v>Clean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'Clean and dirty const YTM'!$P$3:$P$403</c:f>
              <c:numCache>
                <c:formatCode>General</c:formatCode>
                <c:ptCount val="401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  <c:pt idx="10">
                  <c:v>0.125</c:v>
                </c:pt>
                <c:pt idx="11">
                  <c:v>0.13750000000000001</c:v>
                </c:pt>
                <c:pt idx="12">
                  <c:v>0.15</c:v>
                </c:pt>
                <c:pt idx="13">
                  <c:v>0.16250000000000001</c:v>
                </c:pt>
                <c:pt idx="14">
                  <c:v>0.17499999999999999</c:v>
                </c:pt>
                <c:pt idx="15">
                  <c:v>0.1875</c:v>
                </c:pt>
                <c:pt idx="16">
                  <c:v>0.2</c:v>
                </c:pt>
                <c:pt idx="17">
                  <c:v>0.21249999999999999</c:v>
                </c:pt>
                <c:pt idx="18">
                  <c:v>0.22500000000000001</c:v>
                </c:pt>
                <c:pt idx="19">
                  <c:v>0.23749999999999999</c:v>
                </c:pt>
                <c:pt idx="20">
                  <c:v>0.25</c:v>
                </c:pt>
                <c:pt idx="21">
                  <c:v>0.26250000000000001</c:v>
                </c:pt>
                <c:pt idx="22">
                  <c:v>0.27500000000000002</c:v>
                </c:pt>
                <c:pt idx="23">
                  <c:v>0.28749999999999998</c:v>
                </c:pt>
                <c:pt idx="24">
                  <c:v>0.3</c:v>
                </c:pt>
                <c:pt idx="25">
                  <c:v>0.3125</c:v>
                </c:pt>
                <c:pt idx="26">
                  <c:v>0.32500000000000001</c:v>
                </c:pt>
                <c:pt idx="27">
                  <c:v>0.33750000000000002</c:v>
                </c:pt>
                <c:pt idx="28">
                  <c:v>0.35</c:v>
                </c:pt>
                <c:pt idx="29">
                  <c:v>0.36249999999999999</c:v>
                </c:pt>
                <c:pt idx="30">
                  <c:v>0.375</c:v>
                </c:pt>
                <c:pt idx="31">
                  <c:v>0.38750000000000001</c:v>
                </c:pt>
                <c:pt idx="32">
                  <c:v>0.4</c:v>
                </c:pt>
                <c:pt idx="33">
                  <c:v>0.41249999999999998</c:v>
                </c:pt>
                <c:pt idx="34">
                  <c:v>0.42499999999999999</c:v>
                </c:pt>
                <c:pt idx="35">
                  <c:v>0.4375</c:v>
                </c:pt>
                <c:pt idx="36">
                  <c:v>0.45</c:v>
                </c:pt>
                <c:pt idx="37">
                  <c:v>0.46250000000000002</c:v>
                </c:pt>
                <c:pt idx="38">
                  <c:v>0.47499999999999998</c:v>
                </c:pt>
                <c:pt idx="39">
                  <c:v>0.48749999999999999</c:v>
                </c:pt>
                <c:pt idx="40">
                  <c:v>0.5</c:v>
                </c:pt>
                <c:pt idx="41">
                  <c:v>0.51249999999999996</c:v>
                </c:pt>
                <c:pt idx="42">
                  <c:v>0.52500000000000002</c:v>
                </c:pt>
                <c:pt idx="43">
                  <c:v>0.53749999999999998</c:v>
                </c:pt>
                <c:pt idx="44">
                  <c:v>0.55000000000000004</c:v>
                </c:pt>
                <c:pt idx="45">
                  <c:v>0.5625</c:v>
                </c:pt>
                <c:pt idx="46">
                  <c:v>0.57499999999999996</c:v>
                </c:pt>
                <c:pt idx="47">
                  <c:v>0.58750000000000002</c:v>
                </c:pt>
                <c:pt idx="48">
                  <c:v>0.6</c:v>
                </c:pt>
                <c:pt idx="49">
                  <c:v>0.61250000000000004</c:v>
                </c:pt>
                <c:pt idx="50">
                  <c:v>0.625</c:v>
                </c:pt>
                <c:pt idx="51">
                  <c:v>0.63749999999999996</c:v>
                </c:pt>
                <c:pt idx="52">
                  <c:v>0.65</c:v>
                </c:pt>
                <c:pt idx="53">
                  <c:v>0.66249999999999998</c:v>
                </c:pt>
                <c:pt idx="54">
                  <c:v>0.67500000000000004</c:v>
                </c:pt>
                <c:pt idx="55">
                  <c:v>0.6875</c:v>
                </c:pt>
                <c:pt idx="56">
                  <c:v>0.7</c:v>
                </c:pt>
                <c:pt idx="57">
                  <c:v>0.71250000000000002</c:v>
                </c:pt>
                <c:pt idx="58">
                  <c:v>0.72499999999999998</c:v>
                </c:pt>
                <c:pt idx="59">
                  <c:v>0.73750000000000004</c:v>
                </c:pt>
                <c:pt idx="60">
                  <c:v>0.75</c:v>
                </c:pt>
                <c:pt idx="61">
                  <c:v>0.76249999999999996</c:v>
                </c:pt>
                <c:pt idx="62">
                  <c:v>0.77500000000000002</c:v>
                </c:pt>
                <c:pt idx="63">
                  <c:v>0.78749999999999998</c:v>
                </c:pt>
                <c:pt idx="64">
                  <c:v>0.8</c:v>
                </c:pt>
                <c:pt idx="65">
                  <c:v>0.8125</c:v>
                </c:pt>
                <c:pt idx="66">
                  <c:v>0.82499999999999996</c:v>
                </c:pt>
                <c:pt idx="67">
                  <c:v>0.83750000000000002</c:v>
                </c:pt>
                <c:pt idx="68">
                  <c:v>0.85</c:v>
                </c:pt>
                <c:pt idx="69">
                  <c:v>0.86250000000000004</c:v>
                </c:pt>
                <c:pt idx="70">
                  <c:v>0.875</c:v>
                </c:pt>
                <c:pt idx="71">
                  <c:v>0.88749999999999996</c:v>
                </c:pt>
                <c:pt idx="72">
                  <c:v>0.9</c:v>
                </c:pt>
                <c:pt idx="73">
                  <c:v>0.91249999999999998</c:v>
                </c:pt>
                <c:pt idx="74">
                  <c:v>0.92500000000000004</c:v>
                </c:pt>
                <c:pt idx="75">
                  <c:v>0.9375</c:v>
                </c:pt>
                <c:pt idx="76">
                  <c:v>0.95</c:v>
                </c:pt>
                <c:pt idx="77">
                  <c:v>0.96250000000000002</c:v>
                </c:pt>
                <c:pt idx="78">
                  <c:v>0.97499999999999998</c:v>
                </c:pt>
                <c:pt idx="79">
                  <c:v>0.98750000000000004</c:v>
                </c:pt>
                <c:pt idx="80">
                  <c:v>1</c:v>
                </c:pt>
                <c:pt idx="81">
                  <c:v>1.0125</c:v>
                </c:pt>
                <c:pt idx="82">
                  <c:v>1.0249999999999999</c:v>
                </c:pt>
                <c:pt idx="83">
                  <c:v>1.0375000000000001</c:v>
                </c:pt>
                <c:pt idx="84">
                  <c:v>1.05</c:v>
                </c:pt>
                <c:pt idx="85">
                  <c:v>1.0625</c:v>
                </c:pt>
                <c:pt idx="86">
                  <c:v>1.075</c:v>
                </c:pt>
                <c:pt idx="87">
                  <c:v>1.0874999999999999</c:v>
                </c:pt>
                <c:pt idx="88">
                  <c:v>1.1000000000000001</c:v>
                </c:pt>
                <c:pt idx="89">
                  <c:v>1.1125</c:v>
                </c:pt>
                <c:pt idx="90">
                  <c:v>1.125</c:v>
                </c:pt>
                <c:pt idx="91">
                  <c:v>1.1375</c:v>
                </c:pt>
                <c:pt idx="92">
                  <c:v>1.1499999999999999</c:v>
                </c:pt>
                <c:pt idx="93">
                  <c:v>1.1625000000000001</c:v>
                </c:pt>
                <c:pt idx="94">
                  <c:v>1.175</c:v>
                </c:pt>
                <c:pt idx="95">
                  <c:v>1.1875</c:v>
                </c:pt>
                <c:pt idx="96">
                  <c:v>1.2</c:v>
                </c:pt>
                <c:pt idx="97">
                  <c:v>1.2124999999999999</c:v>
                </c:pt>
                <c:pt idx="98">
                  <c:v>1.2250000000000001</c:v>
                </c:pt>
                <c:pt idx="99">
                  <c:v>1.2375</c:v>
                </c:pt>
                <c:pt idx="100">
                  <c:v>1.25</c:v>
                </c:pt>
                <c:pt idx="101">
                  <c:v>1.2625</c:v>
                </c:pt>
                <c:pt idx="102">
                  <c:v>1.2749999999999999</c:v>
                </c:pt>
                <c:pt idx="103">
                  <c:v>1.2875000000000001</c:v>
                </c:pt>
                <c:pt idx="104">
                  <c:v>1.3</c:v>
                </c:pt>
                <c:pt idx="105">
                  <c:v>1.3125</c:v>
                </c:pt>
                <c:pt idx="106">
                  <c:v>1.325</c:v>
                </c:pt>
                <c:pt idx="107">
                  <c:v>1.3374999999999999</c:v>
                </c:pt>
                <c:pt idx="108">
                  <c:v>1.35</c:v>
                </c:pt>
                <c:pt idx="109">
                  <c:v>1.3625</c:v>
                </c:pt>
                <c:pt idx="110">
                  <c:v>1.375</c:v>
                </c:pt>
                <c:pt idx="111">
                  <c:v>1.3875</c:v>
                </c:pt>
                <c:pt idx="112">
                  <c:v>1.4</c:v>
                </c:pt>
                <c:pt idx="113">
                  <c:v>1.4125000000000001</c:v>
                </c:pt>
                <c:pt idx="114">
                  <c:v>1.425</c:v>
                </c:pt>
                <c:pt idx="115">
                  <c:v>1.4375</c:v>
                </c:pt>
                <c:pt idx="116">
                  <c:v>1.45</c:v>
                </c:pt>
                <c:pt idx="117">
                  <c:v>1.4624999999999999</c:v>
                </c:pt>
                <c:pt idx="118">
                  <c:v>1.4750000000000001</c:v>
                </c:pt>
                <c:pt idx="119">
                  <c:v>1.4875</c:v>
                </c:pt>
                <c:pt idx="120">
                  <c:v>1.5</c:v>
                </c:pt>
                <c:pt idx="121">
                  <c:v>1.5125</c:v>
                </c:pt>
                <c:pt idx="122">
                  <c:v>1.5249999999999999</c:v>
                </c:pt>
                <c:pt idx="123">
                  <c:v>1.5375000000000001</c:v>
                </c:pt>
                <c:pt idx="124">
                  <c:v>1.55</c:v>
                </c:pt>
                <c:pt idx="125">
                  <c:v>1.5625</c:v>
                </c:pt>
                <c:pt idx="126">
                  <c:v>1.575</c:v>
                </c:pt>
                <c:pt idx="127">
                  <c:v>1.5874999999999999</c:v>
                </c:pt>
                <c:pt idx="128">
                  <c:v>1.6</c:v>
                </c:pt>
                <c:pt idx="129">
                  <c:v>1.6125</c:v>
                </c:pt>
                <c:pt idx="130">
                  <c:v>1.625</c:v>
                </c:pt>
                <c:pt idx="131">
                  <c:v>1.6375</c:v>
                </c:pt>
                <c:pt idx="132">
                  <c:v>1.65</c:v>
                </c:pt>
                <c:pt idx="133">
                  <c:v>1.6625000000000001</c:v>
                </c:pt>
                <c:pt idx="134">
                  <c:v>1.675</c:v>
                </c:pt>
                <c:pt idx="135">
                  <c:v>1.6875</c:v>
                </c:pt>
                <c:pt idx="136">
                  <c:v>1.7</c:v>
                </c:pt>
                <c:pt idx="137">
                  <c:v>1.7124999999999999</c:v>
                </c:pt>
                <c:pt idx="138">
                  <c:v>1.7250000000000001</c:v>
                </c:pt>
                <c:pt idx="139">
                  <c:v>1.7375</c:v>
                </c:pt>
                <c:pt idx="140">
                  <c:v>1.75</c:v>
                </c:pt>
                <c:pt idx="141">
                  <c:v>1.7625</c:v>
                </c:pt>
                <c:pt idx="142">
                  <c:v>1.7749999999999999</c:v>
                </c:pt>
                <c:pt idx="143">
                  <c:v>1.7875000000000001</c:v>
                </c:pt>
                <c:pt idx="144">
                  <c:v>1.8</c:v>
                </c:pt>
                <c:pt idx="145">
                  <c:v>1.8125</c:v>
                </c:pt>
                <c:pt idx="146">
                  <c:v>1.825</c:v>
                </c:pt>
                <c:pt idx="147">
                  <c:v>1.8374999999999999</c:v>
                </c:pt>
                <c:pt idx="148">
                  <c:v>1.85</c:v>
                </c:pt>
                <c:pt idx="149">
                  <c:v>1.8625</c:v>
                </c:pt>
                <c:pt idx="150">
                  <c:v>1.875</c:v>
                </c:pt>
                <c:pt idx="151">
                  <c:v>1.8875</c:v>
                </c:pt>
                <c:pt idx="152">
                  <c:v>1.9</c:v>
                </c:pt>
                <c:pt idx="153">
                  <c:v>1.9125000000000001</c:v>
                </c:pt>
                <c:pt idx="154">
                  <c:v>1.925</c:v>
                </c:pt>
                <c:pt idx="155">
                  <c:v>1.9375</c:v>
                </c:pt>
                <c:pt idx="156">
                  <c:v>1.95</c:v>
                </c:pt>
                <c:pt idx="157">
                  <c:v>1.9624999999999999</c:v>
                </c:pt>
                <c:pt idx="158">
                  <c:v>1.9750000000000001</c:v>
                </c:pt>
                <c:pt idx="159">
                  <c:v>1.9875</c:v>
                </c:pt>
                <c:pt idx="160">
                  <c:v>2</c:v>
                </c:pt>
                <c:pt idx="161">
                  <c:v>2.0125000000000002</c:v>
                </c:pt>
                <c:pt idx="162">
                  <c:v>2.0249999999999999</c:v>
                </c:pt>
                <c:pt idx="163">
                  <c:v>2.0375000000000001</c:v>
                </c:pt>
                <c:pt idx="164">
                  <c:v>2.0499999999999998</c:v>
                </c:pt>
                <c:pt idx="165">
                  <c:v>2.0625</c:v>
                </c:pt>
                <c:pt idx="166">
                  <c:v>2.0750000000000002</c:v>
                </c:pt>
                <c:pt idx="167">
                  <c:v>2.0874999999999999</c:v>
                </c:pt>
                <c:pt idx="168">
                  <c:v>2.1</c:v>
                </c:pt>
                <c:pt idx="169">
                  <c:v>2.1124999999999998</c:v>
                </c:pt>
                <c:pt idx="170">
                  <c:v>2.125</c:v>
                </c:pt>
                <c:pt idx="171">
                  <c:v>2.1375000000000002</c:v>
                </c:pt>
                <c:pt idx="172">
                  <c:v>2.15</c:v>
                </c:pt>
                <c:pt idx="173">
                  <c:v>2.1625000000000001</c:v>
                </c:pt>
                <c:pt idx="174">
                  <c:v>2.1749999999999998</c:v>
                </c:pt>
                <c:pt idx="175">
                  <c:v>2.1875</c:v>
                </c:pt>
                <c:pt idx="176">
                  <c:v>2.2000000000000002</c:v>
                </c:pt>
                <c:pt idx="177">
                  <c:v>2.2124999999999999</c:v>
                </c:pt>
                <c:pt idx="178">
                  <c:v>2.2250000000000001</c:v>
                </c:pt>
                <c:pt idx="179">
                  <c:v>2.2374999999999998</c:v>
                </c:pt>
                <c:pt idx="180">
                  <c:v>2.25</c:v>
                </c:pt>
                <c:pt idx="181">
                  <c:v>2.2625000000000002</c:v>
                </c:pt>
                <c:pt idx="182">
                  <c:v>2.2749999999999999</c:v>
                </c:pt>
                <c:pt idx="183">
                  <c:v>2.2875000000000001</c:v>
                </c:pt>
                <c:pt idx="184">
                  <c:v>2.2999999999999998</c:v>
                </c:pt>
                <c:pt idx="185">
                  <c:v>2.3125</c:v>
                </c:pt>
                <c:pt idx="186">
                  <c:v>2.3250000000000002</c:v>
                </c:pt>
                <c:pt idx="187">
                  <c:v>2.3374999999999999</c:v>
                </c:pt>
                <c:pt idx="188">
                  <c:v>2.35</c:v>
                </c:pt>
                <c:pt idx="189">
                  <c:v>2.3624999999999998</c:v>
                </c:pt>
                <c:pt idx="190">
                  <c:v>2.375</c:v>
                </c:pt>
                <c:pt idx="191">
                  <c:v>2.3875000000000002</c:v>
                </c:pt>
                <c:pt idx="192">
                  <c:v>2.4</c:v>
                </c:pt>
                <c:pt idx="193">
                  <c:v>2.4125000000000001</c:v>
                </c:pt>
                <c:pt idx="194">
                  <c:v>2.4249999999999998</c:v>
                </c:pt>
                <c:pt idx="195">
                  <c:v>2.4375</c:v>
                </c:pt>
                <c:pt idx="196">
                  <c:v>2.4500000000000002</c:v>
                </c:pt>
                <c:pt idx="197">
                  <c:v>2.4624999999999999</c:v>
                </c:pt>
                <c:pt idx="198">
                  <c:v>2.4750000000000001</c:v>
                </c:pt>
                <c:pt idx="199">
                  <c:v>2.4874999999999998</c:v>
                </c:pt>
                <c:pt idx="200">
                  <c:v>2.5</c:v>
                </c:pt>
                <c:pt idx="201">
                  <c:v>2.5125000000000002</c:v>
                </c:pt>
                <c:pt idx="202">
                  <c:v>2.5249999999999999</c:v>
                </c:pt>
                <c:pt idx="203">
                  <c:v>2.5375000000000001</c:v>
                </c:pt>
                <c:pt idx="204">
                  <c:v>2.5499999999999998</c:v>
                </c:pt>
                <c:pt idx="205">
                  <c:v>2.5625</c:v>
                </c:pt>
                <c:pt idx="206">
                  <c:v>2.5750000000000002</c:v>
                </c:pt>
                <c:pt idx="207">
                  <c:v>2.5874999999999999</c:v>
                </c:pt>
                <c:pt idx="208">
                  <c:v>2.6</c:v>
                </c:pt>
                <c:pt idx="209">
                  <c:v>2.6124999999999998</c:v>
                </c:pt>
                <c:pt idx="210">
                  <c:v>2.625</c:v>
                </c:pt>
                <c:pt idx="211">
                  <c:v>2.6375000000000002</c:v>
                </c:pt>
                <c:pt idx="212">
                  <c:v>2.65</c:v>
                </c:pt>
                <c:pt idx="213">
                  <c:v>2.6625000000000001</c:v>
                </c:pt>
                <c:pt idx="214">
                  <c:v>2.6749999999999998</c:v>
                </c:pt>
                <c:pt idx="215">
                  <c:v>2.6875</c:v>
                </c:pt>
                <c:pt idx="216">
                  <c:v>2.7</c:v>
                </c:pt>
                <c:pt idx="217">
                  <c:v>2.7124999999999999</c:v>
                </c:pt>
                <c:pt idx="218">
                  <c:v>2.7250000000000001</c:v>
                </c:pt>
                <c:pt idx="219">
                  <c:v>2.7374999999999998</c:v>
                </c:pt>
                <c:pt idx="220">
                  <c:v>2.75</c:v>
                </c:pt>
                <c:pt idx="221">
                  <c:v>2.7625000000000002</c:v>
                </c:pt>
                <c:pt idx="222">
                  <c:v>2.7749999999999999</c:v>
                </c:pt>
                <c:pt idx="223">
                  <c:v>2.7875000000000001</c:v>
                </c:pt>
                <c:pt idx="224">
                  <c:v>2.8</c:v>
                </c:pt>
                <c:pt idx="225">
                  <c:v>2.8125</c:v>
                </c:pt>
                <c:pt idx="226">
                  <c:v>2.8250000000000002</c:v>
                </c:pt>
                <c:pt idx="227">
                  <c:v>2.8374999999999999</c:v>
                </c:pt>
                <c:pt idx="228">
                  <c:v>2.85</c:v>
                </c:pt>
                <c:pt idx="229">
                  <c:v>2.8624999999999998</c:v>
                </c:pt>
                <c:pt idx="230">
                  <c:v>2.875</c:v>
                </c:pt>
                <c:pt idx="231">
                  <c:v>2.8875000000000002</c:v>
                </c:pt>
                <c:pt idx="232">
                  <c:v>2.9</c:v>
                </c:pt>
                <c:pt idx="233">
                  <c:v>2.9125000000000001</c:v>
                </c:pt>
                <c:pt idx="234">
                  <c:v>2.9249999999999998</c:v>
                </c:pt>
                <c:pt idx="235">
                  <c:v>2.9375</c:v>
                </c:pt>
                <c:pt idx="236">
                  <c:v>2.95</c:v>
                </c:pt>
                <c:pt idx="237">
                  <c:v>2.9624999999999999</c:v>
                </c:pt>
                <c:pt idx="238">
                  <c:v>2.9750000000000001</c:v>
                </c:pt>
                <c:pt idx="239">
                  <c:v>2.9874999999999998</c:v>
                </c:pt>
                <c:pt idx="240">
                  <c:v>3</c:v>
                </c:pt>
                <c:pt idx="241">
                  <c:v>3.0125000000000002</c:v>
                </c:pt>
                <c:pt idx="242">
                  <c:v>3.0249999999999999</c:v>
                </c:pt>
                <c:pt idx="243">
                  <c:v>3.0375000000000001</c:v>
                </c:pt>
                <c:pt idx="244">
                  <c:v>3.05</c:v>
                </c:pt>
                <c:pt idx="245">
                  <c:v>3.0625</c:v>
                </c:pt>
                <c:pt idx="246">
                  <c:v>3.0750000000000002</c:v>
                </c:pt>
                <c:pt idx="247">
                  <c:v>3.0874999999999999</c:v>
                </c:pt>
                <c:pt idx="248">
                  <c:v>3.1</c:v>
                </c:pt>
                <c:pt idx="249">
                  <c:v>3.1124999999999998</c:v>
                </c:pt>
                <c:pt idx="250">
                  <c:v>3.125</c:v>
                </c:pt>
                <c:pt idx="251">
                  <c:v>3.1375000000000002</c:v>
                </c:pt>
                <c:pt idx="252">
                  <c:v>3.15</c:v>
                </c:pt>
                <c:pt idx="253">
                  <c:v>3.1625000000000001</c:v>
                </c:pt>
                <c:pt idx="254">
                  <c:v>3.1749999999999998</c:v>
                </c:pt>
                <c:pt idx="255">
                  <c:v>3.1875</c:v>
                </c:pt>
                <c:pt idx="256">
                  <c:v>3.2</c:v>
                </c:pt>
                <c:pt idx="257">
                  <c:v>3.2124999999999999</c:v>
                </c:pt>
                <c:pt idx="258">
                  <c:v>3.2250000000000001</c:v>
                </c:pt>
                <c:pt idx="259">
                  <c:v>3.2374999999999998</c:v>
                </c:pt>
                <c:pt idx="260">
                  <c:v>3.25</c:v>
                </c:pt>
                <c:pt idx="261">
                  <c:v>3.2625000000000002</c:v>
                </c:pt>
                <c:pt idx="262">
                  <c:v>3.2749999999999999</c:v>
                </c:pt>
                <c:pt idx="263">
                  <c:v>3.2875000000000001</c:v>
                </c:pt>
                <c:pt idx="264">
                  <c:v>3.3</c:v>
                </c:pt>
                <c:pt idx="265">
                  <c:v>3.3125</c:v>
                </c:pt>
                <c:pt idx="266">
                  <c:v>3.3250000000000002</c:v>
                </c:pt>
                <c:pt idx="267">
                  <c:v>3.3374999999999999</c:v>
                </c:pt>
                <c:pt idx="268">
                  <c:v>3.35</c:v>
                </c:pt>
                <c:pt idx="269">
                  <c:v>3.3624999999999998</c:v>
                </c:pt>
                <c:pt idx="270">
                  <c:v>3.375</c:v>
                </c:pt>
                <c:pt idx="271">
                  <c:v>3.3875000000000002</c:v>
                </c:pt>
                <c:pt idx="272">
                  <c:v>3.4</c:v>
                </c:pt>
                <c:pt idx="273">
                  <c:v>3.4125000000000001</c:v>
                </c:pt>
                <c:pt idx="274">
                  <c:v>3.4249999999999998</c:v>
                </c:pt>
                <c:pt idx="275">
                  <c:v>3.4375</c:v>
                </c:pt>
                <c:pt idx="276">
                  <c:v>3.45</c:v>
                </c:pt>
                <c:pt idx="277">
                  <c:v>3.4624999999999999</c:v>
                </c:pt>
                <c:pt idx="278">
                  <c:v>3.4750000000000001</c:v>
                </c:pt>
                <c:pt idx="279">
                  <c:v>3.4874999999999998</c:v>
                </c:pt>
                <c:pt idx="280">
                  <c:v>3.5</c:v>
                </c:pt>
                <c:pt idx="281">
                  <c:v>3.5125000000000002</c:v>
                </c:pt>
                <c:pt idx="282">
                  <c:v>3.5249999999999999</c:v>
                </c:pt>
                <c:pt idx="283">
                  <c:v>3.5375000000000001</c:v>
                </c:pt>
                <c:pt idx="284">
                  <c:v>3.55</c:v>
                </c:pt>
                <c:pt idx="285">
                  <c:v>3.5625</c:v>
                </c:pt>
                <c:pt idx="286">
                  <c:v>3.5750000000000002</c:v>
                </c:pt>
                <c:pt idx="287">
                  <c:v>3.5874999999999999</c:v>
                </c:pt>
                <c:pt idx="288">
                  <c:v>3.6</c:v>
                </c:pt>
                <c:pt idx="289">
                  <c:v>3.6124999999999998</c:v>
                </c:pt>
                <c:pt idx="290">
                  <c:v>3.625</c:v>
                </c:pt>
                <c:pt idx="291">
                  <c:v>3.6375000000000002</c:v>
                </c:pt>
                <c:pt idx="292">
                  <c:v>3.65</c:v>
                </c:pt>
                <c:pt idx="293">
                  <c:v>3.6625000000000001</c:v>
                </c:pt>
                <c:pt idx="294">
                  <c:v>3.6749999999999998</c:v>
                </c:pt>
                <c:pt idx="295">
                  <c:v>3.6875</c:v>
                </c:pt>
                <c:pt idx="296">
                  <c:v>3.7</c:v>
                </c:pt>
                <c:pt idx="297">
                  <c:v>3.7124999999999999</c:v>
                </c:pt>
                <c:pt idx="298">
                  <c:v>3.7250000000000001</c:v>
                </c:pt>
                <c:pt idx="299">
                  <c:v>3.7374999999999998</c:v>
                </c:pt>
                <c:pt idx="300">
                  <c:v>3.75</c:v>
                </c:pt>
                <c:pt idx="301">
                  <c:v>3.7625000000000002</c:v>
                </c:pt>
                <c:pt idx="302">
                  <c:v>3.7749999999999999</c:v>
                </c:pt>
                <c:pt idx="303">
                  <c:v>3.7875000000000001</c:v>
                </c:pt>
                <c:pt idx="304">
                  <c:v>3.8</c:v>
                </c:pt>
                <c:pt idx="305">
                  <c:v>3.8125</c:v>
                </c:pt>
                <c:pt idx="306">
                  <c:v>3.8250000000000002</c:v>
                </c:pt>
                <c:pt idx="307">
                  <c:v>3.8374999999999999</c:v>
                </c:pt>
                <c:pt idx="308">
                  <c:v>3.85</c:v>
                </c:pt>
                <c:pt idx="309">
                  <c:v>3.8624999999999998</c:v>
                </c:pt>
                <c:pt idx="310">
                  <c:v>3.875</c:v>
                </c:pt>
                <c:pt idx="311">
                  <c:v>3.8875000000000002</c:v>
                </c:pt>
                <c:pt idx="312">
                  <c:v>3.9</c:v>
                </c:pt>
                <c:pt idx="313">
                  <c:v>3.9125000000000001</c:v>
                </c:pt>
                <c:pt idx="314">
                  <c:v>3.9249999999999998</c:v>
                </c:pt>
                <c:pt idx="315">
                  <c:v>3.9375</c:v>
                </c:pt>
                <c:pt idx="316">
                  <c:v>3.95</c:v>
                </c:pt>
                <c:pt idx="317">
                  <c:v>3.9624999999999999</c:v>
                </c:pt>
                <c:pt idx="318">
                  <c:v>3.9750000000000001</c:v>
                </c:pt>
                <c:pt idx="319">
                  <c:v>3.9874999999999998</c:v>
                </c:pt>
                <c:pt idx="320">
                  <c:v>4</c:v>
                </c:pt>
                <c:pt idx="321">
                  <c:v>4.0125000000000002</c:v>
                </c:pt>
                <c:pt idx="322">
                  <c:v>4.0250000000000004</c:v>
                </c:pt>
                <c:pt idx="323">
                  <c:v>4.0374999999999996</c:v>
                </c:pt>
                <c:pt idx="324">
                  <c:v>4.05</c:v>
                </c:pt>
                <c:pt idx="325">
                  <c:v>4.0625</c:v>
                </c:pt>
                <c:pt idx="326">
                  <c:v>4.0750000000000002</c:v>
                </c:pt>
                <c:pt idx="327">
                  <c:v>4.0875000000000004</c:v>
                </c:pt>
                <c:pt idx="328">
                  <c:v>4.0999999999999996</c:v>
                </c:pt>
                <c:pt idx="329">
                  <c:v>4.1124999999999998</c:v>
                </c:pt>
                <c:pt idx="330">
                  <c:v>4.125</c:v>
                </c:pt>
                <c:pt idx="331">
                  <c:v>4.1375000000000002</c:v>
                </c:pt>
                <c:pt idx="332">
                  <c:v>4.1500000000000004</c:v>
                </c:pt>
                <c:pt idx="333">
                  <c:v>4.1624999999999996</c:v>
                </c:pt>
                <c:pt idx="334">
                  <c:v>4.1749999999999998</c:v>
                </c:pt>
                <c:pt idx="335">
                  <c:v>4.1875</c:v>
                </c:pt>
                <c:pt idx="336">
                  <c:v>4.2</c:v>
                </c:pt>
                <c:pt idx="337">
                  <c:v>4.2125000000000004</c:v>
                </c:pt>
                <c:pt idx="338">
                  <c:v>4.2249999999999996</c:v>
                </c:pt>
                <c:pt idx="339">
                  <c:v>4.2374999999999998</c:v>
                </c:pt>
                <c:pt idx="340">
                  <c:v>4.25</c:v>
                </c:pt>
                <c:pt idx="341">
                  <c:v>4.2625000000000002</c:v>
                </c:pt>
                <c:pt idx="342">
                  <c:v>4.2750000000000004</c:v>
                </c:pt>
                <c:pt idx="343">
                  <c:v>4.2874999999999996</c:v>
                </c:pt>
                <c:pt idx="344">
                  <c:v>4.3</c:v>
                </c:pt>
                <c:pt idx="345">
                  <c:v>4.3125</c:v>
                </c:pt>
                <c:pt idx="346">
                  <c:v>4.3250000000000002</c:v>
                </c:pt>
                <c:pt idx="347">
                  <c:v>4.3375000000000004</c:v>
                </c:pt>
                <c:pt idx="348">
                  <c:v>4.3499999999999996</c:v>
                </c:pt>
                <c:pt idx="349">
                  <c:v>4.3624999999999998</c:v>
                </c:pt>
                <c:pt idx="350">
                  <c:v>4.375</c:v>
                </c:pt>
                <c:pt idx="351">
                  <c:v>4.3875000000000002</c:v>
                </c:pt>
                <c:pt idx="352">
                  <c:v>4.4000000000000004</c:v>
                </c:pt>
                <c:pt idx="353">
                  <c:v>4.4124999999999996</c:v>
                </c:pt>
                <c:pt idx="354">
                  <c:v>4.4249999999999998</c:v>
                </c:pt>
                <c:pt idx="355">
                  <c:v>4.4375</c:v>
                </c:pt>
                <c:pt idx="356">
                  <c:v>4.45</c:v>
                </c:pt>
                <c:pt idx="357">
                  <c:v>4.4625000000000004</c:v>
                </c:pt>
                <c:pt idx="358">
                  <c:v>4.4749999999999996</c:v>
                </c:pt>
                <c:pt idx="359">
                  <c:v>4.4874999999999998</c:v>
                </c:pt>
                <c:pt idx="360">
                  <c:v>4.5</c:v>
                </c:pt>
                <c:pt idx="361">
                  <c:v>4.5125000000000002</c:v>
                </c:pt>
                <c:pt idx="362">
                  <c:v>4.5250000000000004</c:v>
                </c:pt>
                <c:pt idx="363">
                  <c:v>4.5374999999999996</c:v>
                </c:pt>
                <c:pt idx="364">
                  <c:v>4.55</c:v>
                </c:pt>
                <c:pt idx="365">
                  <c:v>4.5625</c:v>
                </c:pt>
                <c:pt idx="366">
                  <c:v>4.5750000000000002</c:v>
                </c:pt>
                <c:pt idx="367">
                  <c:v>4.5875000000000004</c:v>
                </c:pt>
                <c:pt idx="368">
                  <c:v>4.5999999999999996</c:v>
                </c:pt>
                <c:pt idx="369">
                  <c:v>4.6124999999999998</c:v>
                </c:pt>
                <c:pt idx="370">
                  <c:v>4.625</c:v>
                </c:pt>
                <c:pt idx="371">
                  <c:v>4.6375000000000002</c:v>
                </c:pt>
                <c:pt idx="372">
                  <c:v>4.6500000000000004</c:v>
                </c:pt>
                <c:pt idx="373">
                  <c:v>4.6624999999999996</c:v>
                </c:pt>
                <c:pt idx="374">
                  <c:v>4.6749999999999998</c:v>
                </c:pt>
                <c:pt idx="375">
                  <c:v>4.6875</c:v>
                </c:pt>
                <c:pt idx="376">
                  <c:v>4.7</c:v>
                </c:pt>
                <c:pt idx="377">
                  <c:v>4.7125000000000004</c:v>
                </c:pt>
                <c:pt idx="378">
                  <c:v>4.7249999999999996</c:v>
                </c:pt>
                <c:pt idx="379">
                  <c:v>4.7374999999999998</c:v>
                </c:pt>
                <c:pt idx="380">
                  <c:v>4.75</c:v>
                </c:pt>
                <c:pt idx="381">
                  <c:v>4.7625000000000002</c:v>
                </c:pt>
                <c:pt idx="382">
                  <c:v>4.7750000000000004</c:v>
                </c:pt>
                <c:pt idx="383">
                  <c:v>4.7874999999999996</c:v>
                </c:pt>
                <c:pt idx="384">
                  <c:v>4.8</c:v>
                </c:pt>
                <c:pt idx="385">
                  <c:v>4.8125</c:v>
                </c:pt>
                <c:pt idx="386">
                  <c:v>4.8250000000000002</c:v>
                </c:pt>
                <c:pt idx="387">
                  <c:v>4.8375000000000004</c:v>
                </c:pt>
                <c:pt idx="388">
                  <c:v>4.8499999999999996</c:v>
                </c:pt>
                <c:pt idx="389">
                  <c:v>4.8624999999999998</c:v>
                </c:pt>
                <c:pt idx="390">
                  <c:v>4.875</c:v>
                </c:pt>
                <c:pt idx="391">
                  <c:v>4.8875000000000002</c:v>
                </c:pt>
                <c:pt idx="392">
                  <c:v>4.9000000000000004</c:v>
                </c:pt>
                <c:pt idx="393">
                  <c:v>4.9124999999999996</c:v>
                </c:pt>
                <c:pt idx="394">
                  <c:v>4.9249999999999998</c:v>
                </c:pt>
                <c:pt idx="395">
                  <c:v>4.9375</c:v>
                </c:pt>
                <c:pt idx="396">
                  <c:v>4.95</c:v>
                </c:pt>
                <c:pt idx="397">
                  <c:v>4.9625000000000004</c:v>
                </c:pt>
                <c:pt idx="398">
                  <c:v>4.9749999999999996</c:v>
                </c:pt>
                <c:pt idx="399">
                  <c:v>4.9874999999999998</c:v>
                </c:pt>
                <c:pt idx="400">
                  <c:v>5</c:v>
                </c:pt>
              </c:numCache>
            </c:numRef>
          </c:xVal>
          <c:yVal>
            <c:numRef>
              <c:f>'Clean and dirty const YTM'!$R$3:$R$403</c:f>
              <c:numCache>
                <c:formatCode>General</c:formatCode>
                <c:ptCount val="401"/>
                <c:pt idx="0">
                  <c:v>98.028239292273796</c:v>
                </c:pt>
                <c:pt idx="1">
                  <c:v>98.031924134326815</c:v>
                </c:pt>
                <c:pt idx="2">
                  <c:v>98.035645620772485</c:v>
                </c:pt>
                <c:pt idx="3">
                  <c:v>98.039403774015327</c:v>
                </c:pt>
                <c:pt idx="4">
                  <c:v>98.043198616473603</c:v>
                </c:pt>
                <c:pt idx="5">
                  <c:v>98.047030170579177</c:v>
                </c:pt>
                <c:pt idx="6">
                  <c:v>98.050898458777723</c:v>
                </c:pt>
                <c:pt idx="7">
                  <c:v>98.054803503528618</c:v>
                </c:pt>
                <c:pt idx="8">
                  <c:v>98.058745327304919</c:v>
                </c:pt>
                <c:pt idx="9">
                  <c:v>98.062723952593515</c:v>
                </c:pt>
                <c:pt idx="10">
                  <c:v>98.066739401894949</c:v>
                </c:pt>
                <c:pt idx="11">
                  <c:v>98.070791697723564</c:v>
                </c:pt>
                <c:pt idx="12">
                  <c:v>98.074880862607515</c:v>
                </c:pt>
                <c:pt idx="13">
                  <c:v>98.079006919088627</c:v>
                </c:pt>
                <c:pt idx="14">
                  <c:v>98.083169889722626</c:v>
                </c:pt>
                <c:pt idx="15">
                  <c:v>98.087369797078907</c:v>
                </c:pt>
                <c:pt idx="16">
                  <c:v>98.09160666374072</c:v>
                </c:pt>
                <c:pt idx="17">
                  <c:v>98.0958805123052</c:v>
                </c:pt>
                <c:pt idx="18">
                  <c:v>98.100191365383168</c:v>
                </c:pt>
                <c:pt idx="19">
                  <c:v>98.104539245599327</c:v>
                </c:pt>
                <c:pt idx="20">
                  <c:v>98.108924175592207</c:v>
                </c:pt>
                <c:pt idx="21">
                  <c:v>98.113346178014211</c:v>
                </c:pt>
                <c:pt idx="22">
                  <c:v>98.11780527553158</c:v>
                </c:pt>
                <c:pt idx="23">
                  <c:v>98.122301490824327</c:v>
                </c:pt>
                <c:pt idx="24">
                  <c:v>98.126834846586462</c:v>
                </c:pt>
                <c:pt idx="25">
                  <c:v>98.131405365525808</c:v>
                </c:pt>
                <c:pt idx="26">
                  <c:v>98.136013070364044</c:v>
                </c:pt>
                <c:pt idx="27">
                  <c:v>98.140657983836789</c:v>
                </c:pt>
                <c:pt idx="28">
                  <c:v>98.145340128693533</c:v>
                </c:pt>
                <c:pt idx="29">
                  <c:v>98.150059527697707</c:v>
                </c:pt>
                <c:pt idx="30">
                  <c:v>98.154816203626638</c:v>
                </c:pt>
                <c:pt idx="31">
                  <c:v>98.159610179271567</c:v>
                </c:pt>
                <c:pt idx="32">
                  <c:v>98.164441477437677</c:v>
                </c:pt>
                <c:pt idx="33">
                  <c:v>98.169310120944132</c:v>
                </c:pt>
                <c:pt idx="34">
                  <c:v>98.174216132623997</c:v>
                </c:pt>
                <c:pt idx="35">
                  <c:v>98.179159535324288</c:v>
                </c:pt>
                <c:pt idx="36">
                  <c:v>98.184140351906066</c:v>
                </c:pt>
                <c:pt idx="37">
                  <c:v>98.189158605244316</c:v>
                </c:pt>
                <c:pt idx="38">
                  <c:v>98.194214318227992</c:v>
                </c:pt>
                <c:pt idx="39">
                  <c:v>98.199307513760104</c:v>
                </c:pt>
                <c:pt idx="40">
                  <c:v>98.204438214757573</c:v>
                </c:pt>
                <c:pt idx="41">
                  <c:v>98.208230785508604</c:v>
                </c:pt>
                <c:pt idx="42">
                  <c:v>98.212060066518077</c:v>
                </c:pt>
                <c:pt idx="43">
                  <c:v>98.215926080230687</c:v>
                </c:pt>
                <c:pt idx="44">
                  <c:v>98.219828849105042</c:v>
                </c:pt>
                <c:pt idx="45">
                  <c:v>98.22376839561332</c:v>
                </c:pt>
                <c:pt idx="46">
                  <c:v>98.227744742241555</c:v>
                </c:pt>
                <c:pt idx="47">
                  <c:v>98.231757911489453</c:v>
                </c:pt>
                <c:pt idx="48">
                  <c:v>98.235807925870532</c:v>
                </c:pt>
                <c:pt idx="49">
                  <c:v>98.239894807912009</c:v>
                </c:pt>
                <c:pt idx="50">
                  <c:v>98.244018580154943</c:v>
                </c:pt>
                <c:pt idx="51">
                  <c:v>98.248179265154135</c:v>
                </c:pt>
                <c:pt idx="52">
                  <c:v>98.252376885478185</c:v>
                </c:pt>
                <c:pt idx="53">
                  <c:v>98.25661146370949</c:v>
                </c:pt>
                <c:pt idx="54">
                  <c:v>98.26088302244429</c:v>
                </c:pt>
                <c:pt idx="55">
                  <c:v>98.265191584292523</c:v>
                </c:pt>
                <c:pt idx="56">
                  <c:v>98.269537171878113</c:v>
                </c:pt>
                <c:pt idx="57">
                  <c:v>98.273919807838752</c:v>
                </c:pt>
                <c:pt idx="58">
                  <c:v>98.278339514825888</c:v>
                </c:pt>
                <c:pt idx="59">
                  <c:v>98.282796315504939</c:v>
                </c:pt>
                <c:pt idx="60">
                  <c:v>98.287290232555108</c:v>
                </c:pt>
                <c:pt idx="61">
                  <c:v>98.291821288669468</c:v>
                </c:pt>
                <c:pt idx="62">
                  <c:v>98.296389506555045</c:v>
                </c:pt>
                <c:pt idx="63">
                  <c:v>98.300994908932637</c:v>
                </c:pt>
                <c:pt idx="64">
                  <c:v>98.305637518537026</c:v>
                </c:pt>
                <c:pt idx="65">
                  <c:v>98.310317358116791</c:v>
                </c:pt>
                <c:pt idx="66">
                  <c:v>98.315034450434553</c:v>
                </c:pt>
                <c:pt idx="67">
                  <c:v>98.31978881826673</c:v>
                </c:pt>
                <c:pt idx="68">
                  <c:v>98.324580484403739</c:v>
                </c:pt>
                <c:pt idx="69">
                  <c:v>98.329409471649896</c:v>
                </c:pt>
                <c:pt idx="70">
                  <c:v>98.33427580282347</c:v>
                </c:pt>
                <c:pt idx="71">
                  <c:v>98.3391795007567</c:v>
                </c:pt>
                <c:pt idx="72">
                  <c:v>98.344120588295752</c:v>
                </c:pt>
                <c:pt idx="73">
                  <c:v>98.349099088300747</c:v>
                </c:pt>
                <c:pt idx="74">
                  <c:v>98.354115023645875</c:v>
                </c:pt>
                <c:pt idx="75">
                  <c:v>98.359168417219195</c:v>
                </c:pt>
                <c:pt idx="76">
                  <c:v>98.364259291922821</c:v>
                </c:pt>
                <c:pt idx="77">
                  <c:v>98.369387670672879</c:v>
                </c:pt>
                <c:pt idx="78">
                  <c:v>98.37455357639945</c:v>
                </c:pt>
                <c:pt idx="79">
                  <c:v>98.379757032046726</c:v>
                </c:pt>
                <c:pt idx="80">
                  <c:v>98.384998060572826</c:v>
                </c:pt>
                <c:pt idx="81">
                  <c:v>98.388901026307181</c:v>
                </c:pt>
                <c:pt idx="82">
                  <c:v>98.392840769795839</c:v>
                </c:pt>
                <c:pt idx="83">
                  <c:v>98.396817313524892</c:v>
                </c:pt>
                <c:pt idx="84">
                  <c:v>98.400830679994101</c:v>
                </c:pt>
                <c:pt idx="85">
                  <c:v>98.404880891717085</c:v>
                </c:pt>
                <c:pt idx="86">
                  <c:v>98.408967971221102</c:v>
                </c:pt>
                <c:pt idx="87">
                  <c:v>98.413091941047341</c:v>
                </c:pt>
                <c:pt idx="88">
                  <c:v>98.41725282375063</c:v>
                </c:pt>
                <c:pt idx="89">
                  <c:v>98.421450641899639</c:v>
                </c:pt>
                <c:pt idx="90">
                  <c:v>98.425685418076867</c:v>
                </c:pt>
                <c:pt idx="91">
                  <c:v>98.429957174878595</c:v>
                </c:pt>
                <c:pt idx="92">
                  <c:v>98.434265934914919</c:v>
                </c:pt>
                <c:pt idx="93">
                  <c:v>98.438611720809718</c:v>
                </c:pt>
                <c:pt idx="94">
                  <c:v>98.442994555200798</c:v>
                </c:pt>
                <c:pt idx="95">
                  <c:v>98.447414460739722</c:v>
                </c:pt>
                <c:pt idx="96">
                  <c:v>98.451871460091937</c:v>
                </c:pt>
                <c:pt idx="97">
                  <c:v>98.456365575936772</c:v>
                </c:pt>
                <c:pt idx="98">
                  <c:v>98.460896830967329</c:v>
                </c:pt>
                <c:pt idx="99">
                  <c:v>98.465465247890705</c:v>
                </c:pt>
                <c:pt idx="100">
                  <c:v>98.470070849427799</c:v>
                </c:pt>
                <c:pt idx="101">
                  <c:v>98.474713658313448</c:v>
                </c:pt>
                <c:pt idx="102">
                  <c:v>98.479393697296345</c:v>
                </c:pt>
                <c:pt idx="103">
                  <c:v>98.484110989139126</c:v>
                </c:pt>
                <c:pt idx="104">
                  <c:v>98.488865556618336</c:v>
                </c:pt>
                <c:pt idx="105">
                  <c:v>98.493657422524421</c:v>
                </c:pt>
                <c:pt idx="106">
                  <c:v>98.498486609661796</c:v>
                </c:pt>
                <c:pt idx="107">
                  <c:v>98.50335314084883</c:v>
                </c:pt>
                <c:pt idx="108">
                  <c:v>98.508257038917762</c:v>
                </c:pt>
                <c:pt idx="109">
                  <c:v>98.513198326714914</c:v>
                </c:pt>
                <c:pt idx="110">
                  <c:v>98.518177027100435</c:v>
                </c:pt>
                <c:pt idx="111">
                  <c:v>98.523193162948587</c:v>
                </c:pt>
                <c:pt idx="112">
                  <c:v>98.528246757147556</c:v>
                </c:pt>
                <c:pt idx="113">
                  <c:v>98.533337832599472</c:v>
                </c:pt>
                <c:pt idx="114">
                  <c:v>98.538466412220558</c:v>
                </c:pt>
                <c:pt idx="115">
                  <c:v>98.543632518940981</c:v>
                </c:pt>
                <c:pt idx="116">
                  <c:v>98.548836175704963</c:v>
                </c:pt>
                <c:pt idx="117">
                  <c:v>98.554077405470778</c:v>
                </c:pt>
                <c:pt idx="118">
                  <c:v>98.559356231210643</c:v>
                </c:pt>
                <c:pt idx="119">
                  <c:v>98.564672675910941</c:v>
                </c:pt>
                <c:pt idx="120">
                  <c:v>98.570026762572013</c:v>
                </c:pt>
                <c:pt idx="121">
                  <c:v>98.574042855565494</c:v>
                </c:pt>
                <c:pt idx="122">
                  <c:v>98.57809579547974</c:v>
                </c:pt>
                <c:pt idx="123">
                  <c:v>98.582185604843104</c:v>
                </c:pt>
                <c:pt idx="124">
                  <c:v>98.586312306197684</c:v>
                </c:pt>
                <c:pt idx="125">
                  <c:v>98.590475922099401</c:v>
                </c:pt>
                <c:pt idx="126">
                  <c:v>98.594676475117922</c:v>
                </c:pt>
                <c:pt idx="127">
                  <c:v>98.598913987836781</c:v>
                </c:pt>
                <c:pt idx="128">
                  <c:v>98.603188482853255</c:v>
                </c:pt>
                <c:pt idx="129">
                  <c:v>98.607499982778478</c:v>
                </c:pt>
                <c:pt idx="130">
                  <c:v>98.61184851023738</c:v>
                </c:pt>
                <c:pt idx="131">
                  <c:v>98.616234087868747</c:v>
                </c:pt>
                <c:pt idx="132">
                  <c:v>98.620656738325195</c:v>
                </c:pt>
                <c:pt idx="133">
                  <c:v>98.625116484273178</c:v>
                </c:pt>
                <c:pt idx="134">
                  <c:v>98.62961334839305</c:v>
                </c:pt>
                <c:pt idx="135">
                  <c:v>98.634147353378978</c:v>
                </c:pt>
                <c:pt idx="136">
                  <c:v>98.63871852193904</c:v>
                </c:pt>
                <c:pt idx="137">
                  <c:v>98.6433268767952</c:v>
                </c:pt>
                <c:pt idx="138">
                  <c:v>98.647972440683276</c:v>
                </c:pt>
                <c:pt idx="139">
                  <c:v>98.652655236353027</c:v>
                </c:pt>
                <c:pt idx="140">
                  <c:v>98.657375286568126</c:v>
                </c:pt>
                <c:pt idx="141">
                  <c:v>98.662132614106113</c:v>
                </c:pt>
                <c:pt idx="142">
                  <c:v>98.666927241758515</c:v>
                </c:pt>
                <c:pt idx="143">
                  <c:v>98.671759192330725</c:v>
                </c:pt>
                <c:pt idx="144">
                  <c:v>98.676628488642166</c:v>
                </c:pt>
                <c:pt idx="145">
                  <c:v>98.681535153526127</c:v>
                </c:pt>
                <c:pt idx="146">
                  <c:v>98.686479209829912</c:v>
                </c:pt>
                <c:pt idx="147">
                  <c:v>98.691460680414806</c:v>
                </c:pt>
                <c:pt idx="148">
                  <c:v>98.696479588156024</c:v>
                </c:pt>
                <c:pt idx="149">
                  <c:v>98.701535955942774</c:v>
                </c:pt>
                <c:pt idx="150">
                  <c:v>98.706629806678265</c:v>
                </c:pt>
                <c:pt idx="151">
                  <c:v>98.711761163279732</c:v>
                </c:pt>
                <c:pt idx="152">
                  <c:v>98.716930048678421</c:v>
                </c:pt>
                <c:pt idx="153">
                  <c:v>98.722136485819561</c:v>
                </c:pt>
                <c:pt idx="154">
                  <c:v>98.727380497662466</c:v>
                </c:pt>
                <c:pt idx="155">
                  <c:v>98.732662107180388</c:v>
                </c:pt>
                <c:pt idx="156">
                  <c:v>98.737981337360736</c:v>
                </c:pt>
                <c:pt idx="157">
                  <c:v>98.743338211204929</c:v>
                </c:pt>
                <c:pt idx="158">
                  <c:v>98.748732751728411</c:v>
                </c:pt>
                <c:pt idx="159">
                  <c:v>98.754164981960798</c:v>
                </c:pt>
                <c:pt idx="160">
                  <c:v>98.759634924945672</c:v>
                </c:pt>
                <c:pt idx="161">
                  <c:v>98.76376694509797</c:v>
                </c:pt>
                <c:pt idx="162">
                  <c:v>98.767935883049333</c:v>
                </c:pt>
                <c:pt idx="163">
                  <c:v>98.772141761371444</c:v>
                </c:pt>
                <c:pt idx="164">
                  <c:v>98.776384602649784</c:v>
                </c:pt>
                <c:pt idx="165">
                  <c:v>98.780664429483664</c:v>
                </c:pt>
                <c:pt idx="166">
                  <c:v>98.784981264486177</c:v>
                </c:pt>
                <c:pt idx="167">
                  <c:v>98.789335130284258</c:v>
                </c:pt>
                <c:pt idx="168">
                  <c:v>98.793726049518668</c:v>
                </c:pt>
                <c:pt idx="169">
                  <c:v>98.798154044844054</c:v>
                </c:pt>
                <c:pt idx="170">
                  <c:v>98.802619138928847</c:v>
                </c:pt>
                <c:pt idx="171">
                  <c:v>98.807121354455376</c:v>
                </c:pt>
                <c:pt idx="172">
                  <c:v>98.811660714119881</c:v>
                </c:pt>
                <c:pt idx="173">
                  <c:v>98.816237240632361</c:v>
                </c:pt>
                <c:pt idx="174">
                  <c:v>98.820850956716811</c:v>
                </c:pt>
                <c:pt idx="175">
                  <c:v>98.825501885111052</c:v>
                </c:pt>
                <c:pt idx="176">
                  <c:v>98.830190048566863</c:v>
                </c:pt>
                <c:pt idx="177">
                  <c:v>98.834915469849889</c:v>
                </c:pt>
                <c:pt idx="178">
                  <c:v>98.839678171739692</c:v>
                </c:pt>
                <c:pt idx="179">
                  <c:v>98.844478177029799</c:v>
                </c:pt>
                <c:pt idx="180">
                  <c:v>98.849315508527653</c:v>
                </c:pt>
                <c:pt idx="181">
                  <c:v>98.85419018905462</c:v>
                </c:pt>
                <c:pt idx="182">
                  <c:v>98.859102241446095</c:v>
                </c:pt>
                <c:pt idx="183">
                  <c:v>98.864051688551314</c:v>
                </c:pt>
                <c:pt idx="184">
                  <c:v>98.86903855323358</c:v>
                </c:pt>
                <c:pt idx="185">
                  <c:v>98.874062858370124</c:v>
                </c:pt>
                <c:pt idx="186">
                  <c:v>98.879124626852217</c:v>
                </c:pt>
                <c:pt idx="187">
                  <c:v>98.884223881585072</c:v>
                </c:pt>
                <c:pt idx="188">
                  <c:v>98.889360645487926</c:v>
                </c:pt>
                <c:pt idx="189">
                  <c:v>98.89453494149403</c:v>
                </c:pt>
                <c:pt idx="190">
                  <c:v>98.899746792550644</c:v>
                </c:pt>
                <c:pt idx="191">
                  <c:v>98.904996221619086</c:v>
                </c:pt>
                <c:pt idx="192">
                  <c:v>98.910283251674713</c:v>
                </c:pt>
                <c:pt idx="193">
                  <c:v>98.915607905706878</c:v>
                </c:pt>
                <c:pt idx="194">
                  <c:v>98.920970206719048</c:v>
                </c:pt>
                <c:pt idx="195">
                  <c:v>98.926370177728728</c:v>
                </c:pt>
                <c:pt idx="196">
                  <c:v>98.93180784176748</c:v>
                </c:pt>
                <c:pt idx="197">
                  <c:v>98.937283221880989</c:v>
                </c:pt>
                <c:pt idx="198">
                  <c:v>98.942796341129011</c:v>
                </c:pt>
                <c:pt idx="199">
                  <c:v>98.948347222585383</c:v>
                </c:pt>
                <c:pt idx="200">
                  <c:v>98.953935889338084</c:v>
                </c:pt>
                <c:pt idx="201">
                  <c:v>98.958186705846344</c:v>
                </c:pt>
                <c:pt idx="202">
                  <c:v>98.962474512786244</c:v>
                </c:pt>
                <c:pt idx="203">
                  <c:v>98.96679933277386</c:v>
                </c:pt>
                <c:pt idx="204">
                  <c:v>98.971161188439098</c:v>
                </c:pt>
                <c:pt idx="205">
                  <c:v>98.975560102425703</c:v>
                </c:pt>
                <c:pt idx="206">
                  <c:v>98.979996097391265</c:v>
                </c:pt>
                <c:pt idx="207">
                  <c:v>98.984469196007311</c:v>
                </c:pt>
                <c:pt idx="208">
                  <c:v>98.988979420959055</c:v>
                </c:pt>
                <c:pt idx="209">
                  <c:v>98.993526794945751</c:v>
                </c:pt>
                <c:pt idx="210">
                  <c:v>98.998111340680438</c:v>
                </c:pt>
                <c:pt idx="211">
                  <c:v>99.002733080890067</c:v>
                </c:pt>
                <c:pt idx="212">
                  <c:v>99.007392038315487</c:v>
                </c:pt>
                <c:pt idx="213">
                  <c:v>99.012088235711417</c:v>
                </c:pt>
                <c:pt idx="214">
                  <c:v>99.016821695846573</c:v>
                </c:pt>
                <c:pt idx="215">
                  <c:v>99.021592441503486</c:v>
                </c:pt>
                <c:pt idx="216">
                  <c:v>99.026400495478711</c:v>
                </c:pt>
                <c:pt idx="217">
                  <c:v>99.031245880582659</c:v>
                </c:pt>
                <c:pt idx="218">
                  <c:v>99.036128619639754</c:v>
                </c:pt>
                <c:pt idx="219">
                  <c:v>99.041048735488332</c:v>
                </c:pt>
                <c:pt idx="220">
                  <c:v>99.046006250980682</c:v>
                </c:pt>
                <c:pt idx="221">
                  <c:v>99.051001188983136</c:v>
                </c:pt>
                <c:pt idx="222">
                  <c:v>99.056033572375952</c:v>
                </c:pt>
                <c:pt idx="223">
                  <c:v>99.061103424053357</c:v>
                </c:pt>
                <c:pt idx="224">
                  <c:v>99.066210766923632</c:v>
                </c:pt>
                <c:pt idx="225">
                  <c:v>99.071355623909028</c:v>
                </c:pt>
                <c:pt idx="226">
                  <c:v>99.076538017945808</c:v>
                </c:pt>
                <c:pt idx="227">
                  <c:v>99.081757971984288</c:v>
                </c:pt>
                <c:pt idx="228">
                  <c:v>99.087015508988785</c:v>
                </c:pt>
                <c:pt idx="229">
                  <c:v>99.092310651937666</c:v>
                </c:pt>
                <c:pt idx="230">
                  <c:v>99.097643423823357</c:v>
                </c:pt>
                <c:pt idx="231">
                  <c:v>99.103013847652335</c:v>
                </c:pt>
                <c:pt idx="232">
                  <c:v>99.108421946445148</c:v>
                </c:pt>
                <c:pt idx="233">
                  <c:v>99.113867743236398</c:v>
                </c:pt>
                <c:pt idx="234">
                  <c:v>99.119351261074812</c:v>
                </c:pt>
                <c:pt idx="235">
                  <c:v>99.124872523023129</c:v>
                </c:pt>
                <c:pt idx="236">
                  <c:v>99.130431552158285</c:v>
                </c:pt>
                <c:pt idx="237">
                  <c:v>99.1360283715713</c:v>
                </c:pt>
                <c:pt idx="238">
                  <c:v>99.14166300436726</c:v>
                </c:pt>
                <c:pt idx="239">
                  <c:v>99.147335473665436</c:v>
                </c:pt>
                <c:pt idx="240">
                  <c:v>99.153045802599195</c:v>
                </c:pt>
                <c:pt idx="241">
                  <c:v>99.157418355673286</c:v>
                </c:pt>
                <c:pt idx="242">
                  <c:v>99.161827973609178</c:v>
                </c:pt>
                <c:pt idx="243">
                  <c:v>99.166274679068493</c:v>
                </c:pt>
                <c:pt idx="244">
                  <c:v>99.170758494726684</c:v>
                </c:pt>
                <c:pt idx="245">
                  <c:v>99.17527944327307</c:v>
                </c:pt>
                <c:pt idx="246">
                  <c:v>99.179837547410784</c:v>
                </c:pt>
                <c:pt idx="247">
                  <c:v>99.184432829857002</c:v>
                </c:pt>
                <c:pt idx="248">
                  <c:v>99.189065313342596</c:v>
                </c:pt>
                <c:pt idx="249">
                  <c:v>99.193735020612479</c:v>
                </c:pt>
                <c:pt idx="250">
                  <c:v>99.198441974425364</c:v>
                </c:pt>
                <c:pt idx="251">
                  <c:v>99.203186197554004</c:v>
                </c:pt>
                <c:pt idx="252">
                  <c:v>99.207967712784921</c:v>
                </c:pt>
                <c:pt idx="253">
                  <c:v>99.212786542918693</c:v>
                </c:pt>
                <c:pt idx="254">
                  <c:v>99.217642710769809</c:v>
                </c:pt>
                <c:pt idx="255">
                  <c:v>99.222536239166658</c:v>
                </c:pt>
                <c:pt idx="256">
                  <c:v>99.227467150951611</c:v>
                </c:pt>
                <c:pt idx="257">
                  <c:v>99.23243546898108</c:v>
                </c:pt>
                <c:pt idx="258">
                  <c:v>99.237441216125333</c:v>
                </c:pt>
                <c:pt idx="259">
                  <c:v>99.242484415268706</c:v>
                </c:pt>
                <c:pt idx="260">
                  <c:v>99.247565089309433</c:v>
                </c:pt>
                <c:pt idx="261">
                  <c:v>99.252683261159873</c:v>
                </c:pt>
                <c:pt idx="262">
                  <c:v>99.257838953746329</c:v>
                </c:pt>
                <c:pt idx="263">
                  <c:v>99.263032190009099</c:v>
                </c:pt>
                <c:pt idx="264">
                  <c:v>99.268262992902521</c:v>
                </c:pt>
                <c:pt idx="265">
                  <c:v>99.273531385395003</c:v>
                </c:pt>
                <c:pt idx="266">
                  <c:v>99.278837390468965</c:v>
                </c:pt>
                <c:pt idx="267">
                  <c:v>99.284181031120895</c:v>
                </c:pt>
                <c:pt idx="268">
                  <c:v>99.289562330361292</c:v>
                </c:pt>
                <c:pt idx="269">
                  <c:v>99.294981311214798</c:v>
                </c:pt>
                <c:pt idx="270">
                  <c:v>99.300437996720078</c:v>
                </c:pt>
                <c:pt idx="271">
                  <c:v>99.305932409929895</c:v>
                </c:pt>
                <c:pt idx="272">
                  <c:v>99.311464573911152</c:v>
                </c:pt>
                <c:pt idx="273">
                  <c:v>99.317034511744751</c:v>
                </c:pt>
                <c:pt idx="274">
                  <c:v>99.322642246525845</c:v>
                </c:pt>
                <c:pt idx="275">
                  <c:v>99.328287801363572</c:v>
                </c:pt>
                <c:pt idx="276">
                  <c:v>99.333971199381281</c:v>
                </c:pt>
                <c:pt idx="277">
                  <c:v>99.33969246371646</c:v>
                </c:pt>
                <c:pt idx="278">
                  <c:v>99.345451617520652</c:v>
                </c:pt>
                <c:pt idx="279">
                  <c:v>99.351248683959724</c:v>
                </c:pt>
                <c:pt idx="280">
                  <c:v>99.357083686213542</c:v>
                </c:pt>
                <c:pt idx="281">
                  <c:v>99.361580988833424</c:v>
                </c:pt>
                <c:pt idx="282">
                  <c:v>99.366115432587478</c:v>
                </c:pt>
                <c:pt idx="283">
                  <c:v>99.370687040183924</c:v>
                </c:pt>
                <c:pt idx="284">
                  <c:v>99.375295834344882</c:v>
                </c:pt>
                <c:pt idx="285">
                  <c:v>99.379941837806385</c:v>
                </c:pt>
                <c:pt idx="286">
                  <c:v>99.38462507331829</c:v>
                </c:pt>
                <c:pt idx="287">
                  <c:v>99.389345563644483</c:v>
                </c:pt>
                <c:pt idx="288">
                  <c:v>99.394103331562633</c:v>
                </c:pt>
                <c:pt idx="289">
                  <c:v>99.39889839986445</c:v>
                </c:pt>
                <c:pt idx="290">
                  <c:v>99.403730791355514</c:v>
                </c:pt>
                <c:pt idx="291">
                  <c:v>99.408600528855345</c:v>
                </c:pt>
                <c:pt idx="292">
                  <c:v>99.41350763519749</c:v>
                </c:pt>
                <c:pt idx="293">
                  <c:v>99.418452133229366</c:v>
                </c:pt>
                <c:pt idx="294">
                  <c:v>99.423434045812385</c:v>
                </c:pt>
                <c:pt idx="295">
                  <c:v>99.428453395821975</c:v>
                </c:pt>
                <c:pt idx="296">
                  <c:v>99.433510206147488</c:v>
                </c:pt>
                <c:pt idx="297">
                  <c:v>99.43860449969236</c:v>
                </c:pt>
                <c:pt idx="298">
                  <c:v>99.443736299373938</c:v>
                </c:pt>
                <c:pt idx="299">
                  <c:v>99.448905628123626</c:v>
                </c:pt>
                <c:pt idx="300">
                  <c:v>99.454112508886809</c:v>
                </c:pt>
                <c:pt idx="301">
                  <c:v>99.45935696462297</c:v>
                </c:pt>
                <c:pt idx="302">
                  <c:v>99.464639018305604</c:v>
                </c:pt>
                <c:pt idx="303">
                  <c:v>99.469958692922219</c:v>
                </c:pt>
                <c:pt idx="304">
                  <c:v>99.475316011474376</c:v>
                </c:pt>
                <c:pt idx="305">
                  <c:v>99.480710996977763</c:v>
                </c:pt>
                <c:pt idx="306">
                  <c:v>99.486143672462063</c:v>
                </c:pt>
                <c:pt idx="307">
                  <c:v>99.491614060971116</c:v>
                </c:pt>
                <c:pt idx="308">
                  <c:v>99.497122185562787</c:v>
                </c:pt>
                <c:pt idx="309">
                  <c:v>99.502668069309038</c:v>
                </c:pt>
                <c:pt idx="310">
                  <c:v>99.508251735295971</c:v>
                </c:pt>
                <c:pt idx="311">
                  <c:v>99.513873206623828</c:v>
                </c:pt>
                <c:pt idx="312">
                  <c:v>99.519532506406946</c:v>
                </c:pt>
                <c:pt idx="313">
                  <c:v>99.525229657773721</c:v>
                </c:pt>
                <c:pt idx="314">
                  <c:v>99.530964683866799</c:v>
                </c:pt>
                <c:pt idx="315">
                  <c:v>99.536737607842937</c:v>
                </c:pt>
                <c:pt idx="316">
                  <c:v>99.542548452873021</c:v>
                </c:pt>
                <c:pt idx="317">
                  <c:v>99.548397242142173</c:v>
                </c:pt>
                <c:pt idx="318">
                  <c:v>99.554283998849613</c:v>
                </c:pt>
                <c:pt idx="319">
                  <c:v>99.560208746208801</c:v>
                </c:pt>
                <c:pt idx="320">
                  <c:v>99.566171507447308</c:v>
                </c:pt>
                <c:pt idx="321">
                  <c:v>99.570796647164272</c:v>
                </c:pt>
                <c:pt idx="322">
                  <c:v>99.575459006175464</c:v>
                </c:pt>
                <c:pt idx="323">
                  <c:v>99.580158607236953</c:v>
                </c:pt>
                <c:pt idx="324">
                  <c:v>99.58489547311865</c:v>
                </c:pt>
                <c:pt idx="325">
                  <c:v>99.589669626604405</c:v>
                </c:pt>
                <c:pt idx="326">
                  <c:v>99.594481090491996</c:v>
                </c:pt>
                <c:pt idx="327">
                  <c:v>99.5993298875932</c:v>
                </c:pt>
                <c:pt idx="328">
                  <c:v>99.60421604073359</c:v>
                </c:pt>
                <c:pt idx="329">
                  <c:v>99.609139572752895</c:v>
                </c:pt>
                <c:pt idx="330">
                  <c:v>99.614100506504656</c:v>
                </c:pt>
                <c:pt idx="331">
                  <c:v>99.619098864856412</c:v>
                </c:pt>
                <c:pt idx="332">
                  <c:v>99.62413467068977</c:v>
                </c:pt>
                <c:pt idx="333">
                  <c:v>99.629207946900195</c:v>
                </c:pt>
                <c:pt idx="334">
                  <c:v>99.634318716397274</c:v>
                </c:pt>
                <c:pt idx="335">
                  <c:v>99.63946700210451</c:v>
                </c:pt>
                <c:pt idx="336">
                  <c:v>99.644652826959458</c:v>
                </c:pt>
                <c:pt idx="337">
                  <c:v>99.649876213913743</c:v>
                </c:pt>
                <c:pt idx="338">
                  <c:v>99.655137185932929</c:v>
                </c:pt>
                <c:pt idx="339">
                  <c:v>99.660435765996695</c:v>
                </c:pt>
                <c:pt idx="340">
                  <c:v>99.665771977098757</c:v>
                </c:pt>
                <c:pt idx="341">
                  <c:v>99.671145842246801</c:v>
                </c:pt>
                <c:pt idx="342">
                  <c:v>99.676557384462754</c:v>
                </c:pt>
                <c:pt idx="343">
                  <c:v>99.682006626782453</c:v>
                </c:pt>
                <c:pt idx="344">
                  <c:v>99.68749359225589</c:v>
                </c:pt>
                <c:pt idx="345">
                  <c:v>99.693018303947198</c:v>
                </c:pt>
                <c:pt idx="346">
                  <c:v>99.698580784934506</c:v>
                </c:pt>
                <c:pt idx="347">
                  <c:v>99.704181058310141</c:v>
                </c:pt>
                <c:pt idx="348">
                  <c:v>99.709819147180468</c:v>
                </c:pt>
                <c:pt idx="349">
                  <c:v>99.715495074666094</c:v>
                </c:pt>
                <c:pt idx="350">
                  <c:v>99.721208863901637</c:v>
                </c:pt>
                <c:pt idx="351">
                  <c:v>99.726960538035925</c:v>
                </c:pt>
                <c:pt idx="352">
                  <c:v>99.732750120231984</c:v>
                </c:pt>
                <c:pt idx="353">
                  <c:v>99.738577633666864</c:v>
                </c:pt>
                <c:pt idx="354">
                  <c:v>99.744443101531942</c:v>
                </c:pt>
                <c:pt idx="355">
                  <c:v>99.750346547032663</c:v>
                </c:pt>
                <c:pt idx="356">
                  <c:v>99.756287993388696</c:v>
                </c:pt>
                <c:pt idx="357">
                  <c:v>99.762267463833936</c:v>
                </c:pt>
                <c:pt idx="358">
                  <c:v>99.768284981616461</c:v>
                </c:pt>
                <c:pt idx="359">
                  <c:v>99.774340569998515</c:v>
                </c:pt>
                <c:pt idx="360">
                  <c:v>99.78043425225664</c:v>
                </c:pt>
                <c:pt idx="361">
                  <c:v>99.785190393038803</c:v>
                </c:pt>
                <c:pt idx="362">
                  <c:v>99.789983833209774</c:v>
                </c:pt>
                <c:pt idx="363">
                  <c:v>99.794814595574522</c:v>
                </c:pt>
                <c:pt idx="364">
                  <c:v>99.79968270295204</c:v>
                </c:pt>
                <c:pt idx="365">
                  <c:v>99.804588178175166</c:v>
                </c:pt>
                <c:pt idx="366">
                  <c:v>99.809531044090775</c:v>
                </c:pt>
                <c:pt idx="367">
                  <c:v>99.814511323559643</c:v>
                </c:pt>
                <c:pt idx="368">
                  <c:v>99.819529039456555</c:v>
                </c:pt>
                <c:pt idx="369">
                  <c:v>99.824584214670352</c:v>
                </c:pt>
                <c:pt idx="370">
                  <c:v>99.829676872103732</c:v>
                </c:pt>
                <c:pt idx="371">
                  <c:v>99.834807034673503</c:v>
                </c:pt>
                <c:pt idx="372">
                  <c:v>99.839974725310469</c:v>
                </c:pt>
                <c:pt idx="373">
                  <c:v>99.845179966959378</c:v>
                </c:pt>
                <c:pt idx="374">
                  <c:v>99.85042278257913</c:v>
                </c:pt>
                <c:pt idx="375">
                  <c:v>99.855703195142524</c:v>
                </c:pt>
                <c:pt idx="376">
                  <c:v>99.861021227636542</c:v>
                </c:pt>
                <c:pt idx="377">
                  <c:v>99.866376903062118</c:v>
                </c:pt>
                <c:pt idx="378">
                  <c:v>99.871770244434273</c:v>
                </c:pt>
                <c:pt idx="379">
                  <c:v>99.877201274782152</c:v>
                </c:pt>
                <c:pt idx="380">
                  <c:v>99.882670017148911</c:v>
                </c:pt>
                <c:pt idx="381">
                  <c:v>99.888176494591818</c:v>
                </c:pt>
                <c:pt idx="382">
                  <c:v>99.893720730182267</c:v>
                </c:pt>
                <c:pt idx="383">
                  <c:v>99.89930274700572</c:v>
                </c:pt>
                <c:pt idx="384">
                  <c:v>99.904922568161766</c:v>
                </c:pt>
                <c:pt idx="385">
                  <c:v>99.910580216764117</c:v>
                </c:pt>
                <c:pt idx="386">
                  <c:v>99.916275715940642</c:v>
                </c:pt>
                <c:pt idx="387">
                  <c:v>99.922009088833306</c:v>
                </c:pt>
                <c:pt idx="388">
                  <c:v>99.927780358598241</c:v>
                </c:pt>
                <c:pt idx="389">
                  <c:v>99.933589548405763</c:v>
                </c:pt>
                <c:pt idx="390">
                  <c:v>99.939436681440284</c:v>
                </c:pt>
                <c:pt idx="391">
                  <c:v>99.9453217809005</c:v>
                </c:pt>
                <c:pt idx="392">
                  <c:v>99.951244869999215</c:v>
                </c:pt>
                <c:pt idx="393">
                  <c:v>99.95720597196339</c:v>
                </c:pt>
                <c:pt idx="394">
                  <c:v>99.963205110034309</c:v>
                </c:pt>
                <c:pt idx="395">
                  <c:v>99.969242307467326</c:v>
                </c:pt>
                <c:pt idx="396">
                  <c:v>99.975317587532132</c:v>
                </c:pt>
                <c:pt idx="397">
                  <c:v>99.981430973512587</c:v>
                </c:pt>
                <c:pt idx="398">
                  <c:v>99.987582488706764</c:v>
                </c:pt>
                <c:pt idx="399">
                  <c:v>99.993772156427056</c:v>
                </c:pt>
                <c:pt idx="400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4E1-4F46-9BA9-7A085290C9EC}"/>
            </c:ext>
          </c:extLst>
        </c:ser>
        <c:ser>
          <c:idx val="3"/>
          <c:order val="1"/>
          <c:tx>
            <c:strRef>
              <c:f>'Clean and dirty const YTM'!$T$2</c:f>
              <c:strCache>
                <c:ptCount val="1"/>
                <c:pt idx="0">
                  <c:v>Gross / Dirty Price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'Clean and dirty const YTM'!$P$3:$P$403</c:f>
              <c:numCache>
                <c:formatCode>General</c:formatCode>
                <c:ptCount val="401"/>
                <c:pt idx="0">
                  <c:v>0</c:v>
                </c:pt>
                <c:pt idx="1">
                  <c:v>1.2500000000000001E-2</c:v>
                </c:pt>
                <c:pt idx="2">
                  <c:v>2.5000000000000001E-2</c:v>
                </c:pt>
                <c:pt idx="3">
                  <c:v>3.7499999999999999E-2</c:v>
                </c:pt>
                <c:pt idx="4">
                  <c:v>0.05</c:v>
                </c:pt>
                <c:pt idx="5">
                  <c:v>6.25E-2</c:v>
                </c:pt>
                <c:pt idx="6">
                  <c:v>7.4999999999999997E-2</c:v>
                </c:pt>
                <c:pt idx="7">
                  <c:v>8.7499999999999994E-2</c:v>
                </c:pt>
                <c:pt idx="8">
                  <c:v>0.1</c:v>
                </c:pt>
                <c:pt idx="9">
                  <c:v>0.1125</c:v>
                </c:pt>
                <c:pt idx="10">
                  <c:v>0.125</c:v>
                </c:pt>
                <c:pt idx="11">
                  <c:v>0.13750000000000001</c:v>
                </c:pt>
                <c:pt idx="12">
                  <c:v>0.15</c:v>
                </c:pt>
                <c:pt idx="13">
                  <c:v>0.16250000000000001</c:v>
                </c:pt>
                <c:pt idx="14">
                  <c:v>0.17499999999999999</c:v>
                </c:pt>
                <c:pt idx="15">
                  <c:v>0.1875</c:v>
                </c:pt>
                <c:pt idx="16">
                  <c:v>0.2</c:v>
                </c:pt>
                <c:pt idx="17">
                  <c:v>0.21249999999999999</c:v>
                </c:pt>
                <c:pt idx="18">
                  <c:v>0.22500000000000001</c:v>
                </c:pt>
                <c:pt idx="19">
                  <c:v>0.23749999999999999</c:v>
                </c:pt>
                <c:pt idx="20">
                  <c:v>0.25</c:v>
                </c:pt>
                <c:pt idx="21">
                  <c:v>0.26250000000000001</c:v>
                </c:pt>
                <c:pt idx="22">
                  <c:v>0.27500000000000002</c:v>
                </c:pt>
                <c:pt idx="23">
                  <c:v>0.28749999999999998</c:v>
                </c:pt>
                <c:pt idx="24">
                  <c:v>0.3</c:v>
                </c:pt>
                <c:pt idx="25">
                  <c:v>0.3125</c:v>
                </c:pt>
                <c:pt idx="26">
                  <c:v>0.32500000000000001</c:v>
                </c:pt>
                <c:pt idx="27">
                  <c:v>0.33750000000000002</c:v>
                </c:pt>
                <c:pt idx="28">
                  <c:v>0.35</c:v>
                </c:pt>
                <c:pt idx="29">
                  <c:v>0.36249999999999999</c:v>
                </c:pt>
                <c:pt idx="30">
                  <c:v>0.375</c:v>
                </c:pt>
                <c:pt idx="31">
                  <c:v>0.38750000000000001</c:v>
                </c:pt>
                <c:pt idx="32">
                  <c:v>0.4</c:v>
                </c:pt>
                <c:pt idx="33">
                  <c:v>0.41249999999999998</c:v>
                </c:pt>
                <c:pt idx="34">
                  <c:v>0.42499999999999999</c:v>
                </c:pt>
                <c:pt idx="35">
                  <c:v>0.4375</c:v>
                </c:pt>
                <c:pt idx="36">
                  <c:v>0.45</c:v>
                </c:pt>
                <c:pt idx="37">
                  <c:v>0.46250000000000002</c:v>
                </c:pt>
                <c:pt idx="38">
                  <c:v>0.47499999999999998</c:v>
                </c:pt>
                <c:pt idx="39">
                  <c:v>0.48749999999999999</c:v>
                </c:pt>
                <c:pt idx="40">
                  <c:v>0.5</c:v>
                </c:pt>
                <c:pt idx="41">
                  <c:v>0.51249999999999996</c:v>
                </c:pt>
                <c:pt idx="42">
                  <c:v>0.52500000000000002</c:v>
                </c:pt>
                <c:pt idx="43">
                  <c:v>0.53749999999999998</c:v>
                </c:pt>
                <c:pt idx="44">
                  <c:v>0.55000000000000004</c:v>
                </c:pt>
                <c:pt idx="45">
                  <c:v>0.5625</c:v>
                </c:pt>
                <c:pt idx="46">
                  <c:v>0.57499999999999996</c:v>
                </c:pt>
                <c:pt idx="47">
                  <c:v>0.58750000000000002</c:v>
                </c:pt>
                <c:pt idx="48">
                  <c:v>0.6</c:v>
                </c:pt>
                <c:pt idx="49">
                  <c:v>0.61250000000000004</c:v>
                </c:pt>
                <c:pt idx="50">
                  <c:v>0.625</c:v>
                </c:pt>
                <c:pt idx="51">
                  <c:v>0.63749999999999996</c:v>
                </c:pt>
                <c:pt idx="52">
                  <c:v>0.65</c:v>
                </c:pt>
                <c:pt idx="53">
                  <c:v>0.66249999999999998</c:v>
                </c:pt>
                <c:pt idx="54">
                  <c:v>0.67500000000000004</c:v>
                </c:pt>
                <c:pt idx="55">
                  <c:v>0.6875</c:v>
                </c:pt>
                <c:pt idx="56">
                  <c:v>0.7</c:v>
                </c:pt>
                <c:pt idx="57">
                  <c:v>0.71250000000000002</c:v>
                </c:pt>
                <c:pt idx="58">
                  <c:v>0.72499999999999998</c:v>
                </c:pt>
                <c:pt idx="59">
                  <c:v>0.73750000000000004</c:v>
                </c:pt>
                <c:pt idx="60">
                  <c:v>0.75</c:v>
                </c:pt>
                <c:pt idx="61">
                  <c:v>0.76249999999999996</c:v>
                </c:pt>
                <c:pt idx="62">
                  <c:v>0.77500000000000002</c:v>
                </c:pt>
                <c:pt idx="63">
                  <c:v>0.78749999999999998</c:v>
                </c:pt>
                <c:pt idx="64">
                  <c:v>0.8</c:v>
                </c:pt>
                <c:pt idx="65">
                  <c:v>0.8125</c:v>
                </c:pt>
                <c:pt idx="66">
                  <c:v>0.82499999999999996</c:v>
                </c:pt>
                <c:pt idx="67">
                  <c:v>0.83750000000000002</c:v>
                </c:pt>
                <c:pt idx="68">
                  <c:v>0.85</c:v>
                </c:pt>
                <c:pt idx="69">
                  <c:v>0.86250000000000004</c:v>
                </c:pt>
                <c:pt idx="70">
                  <c:v>0.875</c:v>
                </c:pt>
                <c:pt idx="71">
                  <c:v>0.88749999999999996</c:v>
                </c:pt>
                <c:pt idx="72">
                  <c:v>0.9</c:v>
                </c:pt>
                <c:pt idx="73">
                  <c:v>0.91249999999999998</c:v>
                </c:pt>
                <c:pt idx="74">
                  <c:v>0.92500000000000004</c:v>
                </c:pt>
                <c:pt idx="75">
                  <c:v>0.9375</c:v>
                </c:pt>
                <c:pt idx="76">
                  <c:v>0.95</c:v>
                </c:pt>
                <c:pt idx="77">
                  <c:v>0.96250000000000002</c:v>
                </c:pt>
                <c:pt idx="78">
                  <c:v>0.97499999999999998</c:v>
                </c:pt>
                <c:pt idx="79">
                  <c:v>0.98750000000000004</c:v>
                </c:pt>
                <c:pt idx="80">
                  <c:v>1</c:v>
                </c:pt>
                <c:pt idx="81">
                  <c:v>1.0125</c:v>
                </c:pt>
                <c:pt idx="82">
                  <c:v>1.0249999999999999</c:v>
                </c:pt>
                <c:pt idx="83">
                  <c:v>1.0375000000000001</c:v>
                </c:pt>
                <c:pt idx="84">
                  <c:v>1.05</c:v>
                </c:pt>
                <c:pt idx="85">
                  <c:v>1.0625</c:v>
                </c:pt>
                <c:pt idx="86">
                  <c:v>1.075</c:v>
                </c:pt>
                <c:pt idx="87">
                  <c:v>1.0874999999999999</c:v>
                </c:pt>
                <c:pt idx="88">
                  <c:v>1.1000000000000001</c:v>
                </c:pt>
                <c:pt idx="89">
                  <c:v>1.1125</c:v>
                </c:pt>
                <c:pt idx="90">
                  <c:v>1.125</c:v>
                </c:pt>
                <c:pt idx="91">
                  <c:v>1.1375</c:v>
                </c:pt>
                <c:pt idx="92">
                  <c:v>1.1499999999999999</c:v>
                </c:pt>
                <c:pt idx="93">
                  <c:v>1.1625000000000001</c:v>
                </c:pt>
                <c:pt idx="94">
                  <c:v>1.175</c:v>
                </c:pt>
                <c:pt idx="95">
                  <c:v>1.1875</c:v>
                </c:pt>
                <c:pt idx="96">
                  <c:v>1.2</c:v>
                </c:pt>
                <c:pt idx="97">
                  <c:v>1.2124999999999999</c:v>
                </c:pt>
                <c:pt idx="98">
                  <c:v>1.2250000000000001</c:v>
                </c:pt>
                <c:pt idx="99">
                  <c:v>1.2375</c:v>
                </c:pt>
                <c:pt idx="100">
                  <c:v>1.25</c:v>
                </c:pt>
                <c:pt idx="101">
                  <c:v>1.2625</c:v>
                </c:pt>
                <c:pt idx="102">
                  <c:v>1.2749999999999999</c:v>
                </c:pt>
                <c:pt idx="103">
                  <c:v>1.2875000000000001</c:v>
                </c:pt>
                <c:pt idx="104">
                  <c:v>1.3</c:v>
                </c:pt>
                <c:pt idx="105">
                  <c:v>1.3125</c:v>
                </c:pt>
                <c:pt idx="106">
                  <c:v>1.325</c:v>
                </c:pt>
                <c:pt idx="107">
                  <c:v>1.3374999999999999</c:v>
                </c:pt>
                <c:pt idx="108">
                  <c:v>1.35</c:v>
                </c:pt>
                <c:pt idx="109">
                  <c:v>1.3625</c:v>
                </c:pt>
                <c:pt idx="110">
                  <c:v>1.375</c:v>
                </c:pt>
                <c:pt idx="111">
                  <c:v>1.3875</c:v>
                </c:pt>
                <c:pt idx="112">
                  <c:v>1.4</c:v>
                </c:pt>
                <c:pt idx="113">
                  <c:v>1.4125000000000001</c:v>
                </c:pt>
                <c:pt idx="114">
                  <c:v>1.425</c:v>
                </c:pt>
                <c:pt idx="115">
                  <c:v>1.4375</c:v>
                </c:pt>
                <c:pt idx="116">
                  <c:v>1.45</c:v>
                </c:pt>
                <c:pt idx="117">
                  <c:v>1.4624999999999999</c:v>
                </c:pt>
                <c:pt idx="118">
                  <c:v>1.4750000000000001</c:v>
                </c:pt>
                <c:pt idx="119">
                  <c:v>1.4875</c:v>
                </c:pt>
                <c:pt idx="120">
                  <c:v>1.5</c:v>
                </c:pt>
                <c:pt idx="121">
                  <c:v>1.5125</c:v>
                </c:pt>
                <c:pt idx="122">
                  <c:v>1.5249999999999999</c:v>
                </c:pt>
                <c:pt idx="123">
                  <c:v>1.5375000000000001</c:v>
                </c:pt>
                <c:pt idx="124">
                  <c:v>1.55</c:v>
                </c:pt>
                <c:pt idx="125">
                  <c:v>1.5625</c:v>
                </c:pt>
                <c:pt idx="126">
                  <c:v>1.575</c:v>
                </c:pt>
                <c:pt idx="127">
                  <c:v>1.5874999999999999</c:v>
                </c:pt>
                <c:pt idx="128">
                  <c:v>1.6</c:v>
                </c:pt>
                <c:pt idx="129">
                  <c:v>1.6125</c:v>
                </c:pt>
                <c:pt idx="130">
                  <c:v>1.625</c:v>
                </c:pt>
                <c:pt idx="131">
                  <c:v>1.6375</c:v>
                </c:pt>
                <c:pt idx="132">
                  <c:v>1.65</c:v>
                </c:pt>
                <c:pt idx="133">
                  <c:v>1.6625000000000001</c:v>
                </c:pt>
                <c:pt idx="134">
                  <c:v>1.675</c:v>
                </c:pt>
                <c:pt idx="135">
                  <c:v>1.6875</c:v>
                </c:pt>
                <c:pt idx="136">
                  <c:v>1.7</c:v>
                </c:pt>
                <c:pt idx="137">
                  <c:v>1.7124999999999999</c:v>
                </c:pt>
                <c:pt idx="138">
                  <c:v>1.7250000000000001</c:v>
                </c:pt>
                <c:pt idx="139">
                  <c:v>1.7375</c:v>
                </c:pt>
                <c:pt idx="140">
                  <c:v>1.75</c:v>
                </c:pt>
                <c:pt idx="141">
                  <c:v>1.7625</c:v>
                </c:pt>
                <c:pt idx="142">
                  <c:v>1.7749999999999999</c:v>
                </c:pt>
                <c:pt idx="143">
                  <c:v>1.7875000000000001</c:v>
                </c:pt>
                <c:pt idx="144">
                  <c:v>1.8</c:v>
                </c:pt>
                <c:pt idx="145">
                  <c:v>1.8125</c:v>
                </c:pt>
                <c:pt idx="146">
                  <c:v>1.825</c:v>
                </c:pt>
                <c:pt idx="147">
                  <c:v>1.8374999999999999</c:v>
                </c:pt>
                <c:pt idx="148">
                  <c:v>1.85</c:v>
                </c:pt>
                <c:pt idx="149">
                  <c:v>1.8625</c:v>
                </c:pt>
                <c:pt idx="150">
                  <c:v>1.875</c:v>
                </c:pt>
                <c:pt idx="151">
                  <c:v>1.8875</c:v>
                </c:pt>
                <c:pt idx="152">
                  <c:v>1.9</c:v>
                </c:pt>
                <c:pt idx="153">
                  <c:v>1.9125000000000001</c:v>
                </c:pt>
                <c:pt idx="154">
                  <c:v>1.925</c:v>
                </c:pt>
                <c:pt idx="155">
                  <c:v>1.9375</c:v>
                </c:pt>
                <c:pt idx="156">
                  <c:v>1.95</c:v>
                </c:pt>
                <c:pt idx="157">
                  <c:v>1.9624999999999999</c:v>
                </c:pt>
                <c:pt idx="158">
                  <c:v>1.9750000000000001</c:v>
                </c:pt>
                <c:pt idx="159">
                  <c:v>1.9875</c:v>
                </c:pt>
                <c:pt idx="160">
                  <c:v>2</c:v>
                </c:pt>
                <c:pt idx="161">
                  <c:v>2.0125000000000002</c:v>
                </c:pt>
                <c:pt idx="162">
                  <c:v>2.0249999999999999</c:v>
                </c:pt>
                <c:pt idx="163">
                  <c:v>2.0375000000000001</c:v>
                </c:pt>
                <c:pt idx="164">
                  <c:v>2.0499999999999998</c:v>
                </c:pt>
                <c:pt idx="165">
                  <c:v>2.0625</c:v>
                </c:pt>
                <c:pt idx="166">
                  <c:v>2.0750000000000002</c:v>
                </c:pt>
                <c:pt idx="167">
                  <c:v>2.0874999999999999</c:v>
                </c:pt>
                <c:pt idx="168">
                  <c:v>2.1</c:v>
                </c:pt>
                <c:pt idx="169">
                  <c:v>2.1124999999999998</c:v>
                </c:pt>
                <c:pt idx="170">
                  <c:v>2.125</c:v>
                </c:pt>
                <c:pt idx="171">
                  <c:v>2.1375000000000002</c:v>
                </c:pt>
                <c:pt idx="172">
                  <c:v>2.15</c:v>
                </c:pt>
                <c:pt idx="173">
                  <c:v>2.1625000000000001</c:v>
                </c:pt>
                <c:pt idx="174">
                  <c:v>2.1749999999999998</c:v>
                </c:pt>
                <c:pt idx="175">
                  <c:v>2.1875</c:v>
                </c:pt>
                <c:pt idx="176">
                  <c:v>2.2000000000000002</c:v>
                </c:pt>
                <c:pt idx="177">
                  <c:v>2.2124999999999999</c:v>
                </c:pt>
                <c:pt idx="178">
                  <c:v>2.2250000000000001</c:v>
                </c:pt>
                <c:pt idx="179">
                  <c:v>2.2374999999999998</c:v>
                </c:pt>
                <c:pt idx="180">
                  <c:v>2.25</c:v>
                </c:pt>
                <c:pt idx="181">
                  <c:v>2.2625000000000002</c:v>
                </c:pt>
                <c:pt idx="182">
                  <c:v>2.2749999999999999</c:v>
                </c:pt>
                <c:pt idx="183">
                  <c:v>2.2875000000000001</c:v>
                </c:pt>
                <c:pt idx="184">
                  <c:v>2.2999999999999998</c:v>
                </c:pt>
                <c:pt idx="185">
                  <c:v>2.3125</c:v>
                </c:pt>
                <c:pt idx="186">
                  <c:v>2.3250000000000002</c:v>
                </c:pt>
                <c:pt idx="187">
                  <c:v>2.3374999999999999</c:v>
                </c:pt>
                <c:pt idx="188">
                  <c:v>2.35</c:v>
                </c:pt>
                <c:pt idx="189">
                  <c:v>2.3624999999999998</c:v>
                </c:pt>
                <c:pt idx="190">
                  <c:v>2.375</c:v>
                </c:pt>
                <c:pt idx="191">
                  <c:v>2.3875000000000002</c:v>
                </c:pt>
                <c:pt idx="192">
                  <c:v>2.4</c:v>
                </c:pt>
                <c:pt idx="193">
                  <c:v>2.4125000000000001</c:v>
                </c:pt>
                <c:pt idx="194">
                  <c:v>2.4249999999999998</c:v>
                </c:pt>
                <c:pt idx="195">
                  <c:v>2.4375</c:v>
                </c:pt>
                <c:pt idx="196">
                  <c:v>2.4500000000000002</c:v>
                </c:pt>
                <c:pt idx="197">
                  <c:v>2.4624999999999999</c:v>
                </c:pt>
                <c:pt idx="198">
                  <c:v>2.4750000000000001</c:v>
                </c:pt>
                <c:pt idx="199">
                  <c:v>2.4874999999999998</c:v>
                </c:pt>
                <c:pt idx="200">
                  <c:v>2.5</c:v>
                </c:pt>
                <c:pt idx="201">
                  <c:v>2.5125000000000002</c:v>
                </c:pt>
                <c:pt idx="202">
                  <c:v>2.5249999999999999</c:v>
                </c:pt>
                <c:pt idx="203">
                  <c:v>2.5375000000000001</c:v>
                </c:pt>
                <c:pt idx="204">
                  <c:v>2.5499999999999998</c:v>
                </c:pt>
                <c:pt idx="205">
                  <c:v>2.5625</c:v>
                </c:pt>
                <c:pt idx="206">
                  <c:v>2.5750000000000002</c:v>
                </c:pt>
                <c:pt idx="207">
                  <c:v>2.5874999999999999</c:v>
                </c:pt>
                <c:pt idx="208">
                  <c:v>2.6</c:v>
                </c:pt>
                <c:pt idx="209">
                  <c:v>2.6124999999999998</c:v>
                </c:pt>
                <c:pt idx="210">
                  <c:v>2.625</c:v>
                </c:pt>
                <c:pt idx="211">
                  <c:v>2.6375000000000002</c:v>
                </c:pt>
                <c:pt idx="212">
                  <c:v>2.65</c:v>
                </c:pt>
                <c:pt idx="213">
                  <c:v>2.6625000000000001</c:v>
                </c:pt>
                <c:pt idx="214">
                  <c:v>2.6749999999999998</c:v>
                </c:pt>
                <c:pt idx="215">
                  <c:v>2.6875</c:v>
                </c:pt>
                <c:pt idx="216">
                  <c:v>2.7</c:v>
                </c:pt>
                <c:pt idx="217">
                  <c:v>2.7124999999999999</c:v>
                </c:pt>
                <c:pt idx="218">
                  <c:v>2.7250000000000001</c:v>
                </c:pt>
                <c:pt idx="219">
                  <c:v>2.7374999999999998</c:v>
                </c:pt>
                <c:pt idx="220">
                  <c:v>2.75</c:v>
                </c:pt>
                <c:pt idx="221">
                  <c:v>2.7625000000000002</c:v>
                </c:pt>
                <c:pt idx="222">
                  <c:v>2.7749999999999999</c:v>
                </c:pt>
                <c:pt idx="223">
                  <c:v>2.7875000000000001</c:v>
                </c:pt>
                <c:pt idx="224">
                  <c:v>2.8</c:v>
                </c:pt>
                <c:pt idx="225">
                  <c:v>2.8125</c:v>
                </c:pt>
                <c:pt idx="226">
                  <c:v>2.8250000000000002</c:v>
                </c:pt>
                <c:pt idx="227">
                  <c:v>2.8374999999999999</c:v>
                </c:pt>
                <c:pt idx="228">
                  <c:v>2.85</c:v>
                </c:pt>
                <c:pt idx="229">
                  <c:v>2.8624999999999998</c:v>
                </c:pt>
                <c:pt idx="230">
                  <c:v>2.875</c:v>
                </c:pt>
                <c:pt idx="231">
                  <c:v>2.8875000000000002</c:v>
                </c:pt>
                <c:pt idx="232">
                  <c:v>2.9</c:v>
                </c:pt>
                <c:pt idx="233">
                  <c:v>2.9125000000000001</c:v>
                </c:pt>
                <c:pt idx="234">
                  <c:v>2.9249999999999998</c:v>
                </c:pt>
                <c:pt idx="235">
                  <c:v>2.9375</c:v>
                </c:pt>
                <c:pt idx="236">
                  <c:v>2.95</c:v>
                </c:pt>
                <c:pt idx="237">
                  <c:v>2.9624999999999999</c:v>
                </c:pt>
                <c:pt idx="238">
                  <c:v>2.9750000000000001</c:v>
                </c:pt>
                <c:pt idx="239">
                  <c:v>2.9874999999999998</c:v>
                </c:pt>
                <c:pt idx="240">
                  <c:v>3</c:v>
                </c:pt>
                <c:pt idx="241">
                  <c:v>3.0125000000000002</c:v>
                </c:pt>
                <c:pt idx="242">
                  <c:v>3.0249999999999999</c:v>
                </c:pt>
                <c:pt idx="243">
                  <c:v>3.0375000000000001</c:v>
                </c:pt>
                <c:pt idx="244">
                  <c:v>3.05</c:v>
                </c:pt>
                <c:pt idx="245">
                  <c:v>3.0625</c:v>
                </c:pt>
                <c:pt idx="246">
                  <c:v>3.0750000000000002</c:v>
                </c:pt>
                <c:pt idx="247">
                  <c:v>3.0874999999999999</c:v>
                </c:pt>
                <c:pt idx="248">
                  <c:v>3.1</c:v>
                </c:pt>
                <c:pt idx="249">
                  <c:v>3.1124999999999998</c:v>
                </c:pt>
                <c:pt idx="250">
                  <c:v>3.125</c:v>
                </c:pt>
                <c:pt idx="251">
                  <c:v>3.1375000000000002</c:v>
                </c:pt>
                <c:pt idx="252">
                  <c:v>3.15</c:v>
                </c:pt>
                <c:pt idx="253">
                  <c:v>3.1625000000000001</c:v>
                </c:pt>
                <c:pt idx="254">
                  <c:v>3.1749999999999998</c:v>
                </c:pt>
                <c:pt idx="255">
                  <c:v>3.1875</c:v>
                </c:pt>
                <c:pt idx="256">
                  <c:v>3.2</c:v>
                </c:pt>
                <c:pt idx="257">
                  <c:v>3.2124999999999999</c:v>
                </c:pt>
                <c:pt idx="258">
                  <c:v>3.2250000000000001</c:v>
                </c:pt>
                <c:pt idx="259">
                  <c:v>3.2374999999999998</c:v>
                </c:pt>
                <c:pt idx="260">
                  <c:v>3.25</c:v>
                </c:pt>
                <c:pt idx="261">
                  <c:v>3.2625000000000002</c:v>
                </c:pt>
                <c:pt idx="262">
                  <c:v>3.2749999999999999</c:v>
                </c:pt>
                <c:pt idx="263">
                  <c:v>3.2875000000000001</c:v>
                </c:pt>
                <c:pt idx="264">
                  <c:v>3.3</c:v>
                </c:pt>
                <c:pt idx="265">
                  <c:v>3.3125</c:v>
                </c:pt>
                <c:pt idx="266">
                  <c:v>3.3250000000000002</c:v>
                </c:pt>
                <c:pt idx="267">
                  <c:v>3.3374999999999999</c:v>
                </c:pt>
                <c:pt idx="268">
                  <c:v>3.35</c:v>
                </c:pt>
                <c:pt idx="269">
                  <c:v>3.3624999999999998</c:v>
                </c:pt>
                <c:pt idx="270">
                  <c:v>3.375</c:v>
                </c:pt>
                <c:pt idx="271">
                  <c:v>3.3875000000000002</c:v>
                </c:pt>
                <c:pt idx="272">
                  <c:v>3.4</c:v>
                </c:pt>
                <c:pt idx="273">
                  <c:v>3.4125000000000001</c:v>
                </c:pt>
                <c:pt idx="274">
                  <c:v>3.4249999999999998</c:v>
                </c:pt>
                <c:pt idx="275">
                  <c:v>3.4375</c:v>
                </c:pt>
                <c:pt idx="276">
                  <c:v>3.45</c:v>
                </c:pt>
                <c:pt idx="277">
                  <c:v>3.4624999999999999</c:v>
                </c:pt>
                <c:pt idx="278">
                  <c:v>3.4750000000000001</c:v>
                </c:pt>
                <c:pt idx="279">
                  <c:v>3.4874999999999998</c:v>
                </c:pt>
                <c:pt idx="280">
                  <c:v>3.5</c:v>
                </c:pt>
                <c:pt idx="281">
                  <c:v>3.5125000000000002</c:v>
                </c:pt>
                <c:pt idx="282">
                  <c:v>3.5249999999999999</c:v>
                </c:pt>
                <c:pt idx="283">
                  <c:v>3.5375000000000001</c:v>
                </c:pt>
                <c:pt idx="284">
                  <c:v>3.55</c:v>
                </c:pt>
                <c:pt idx="285">
                  <c:v>3.5625</c:v>
                </c:pt>
                <c:pt idx="286">
                  <c:v>3.5750000000000002</c:v>
                </c:pt>
                <c:pt idx="287">
                  <c:v>3.5874999999999999</c:v>
                </c:pt>
                <c:pt idx="288">
                  <c:v>3.6</c:v>
                </c:pt>
                <c:pt idx="289">
                  <c:v>3.6124999999999998</c:v>
                </c:pt>
                <c:pt idx="290">
                  <c:v>3.625</c:v>
                </c:pt>
                <c:pt idx="291">
                  <c:v>3.6375000000000002</c:v>
                </c:pt>
                <c:pt idx="292">
                  <c:v>3.65</c:v>
                </c:pt>
                <c:pt idx="293">
                  <c:v>3.6625000000000001</c:v>
                </c:pt>
                <c:pt idx="294">
                  <c:v>3.6749999999999998</c:v>
                </c:pt>
                <c:pt idx="295">
                  <c:v>3.6875</c:v>
                </c:pt>
                <c:pt idx="296">
                  <c:v>3.7</c:v>
                </c:pt>
                <c:pt idx="297">
                  <c:v>3.7124999999999999</c:v>
                </c:pt>
                <c:pt idx="298">
                  <c:v>3.7250000000000001</c:v>
                </c:pt>
                <c:pt idx="299">
                  <c:v>3.7374999999999998</c:v>
                </c:pt>
                <c:pt idx="300">
                  <c:v>3.75</c:v>
                </c:pt>
                <c:pt idx="301">
                  <c:v>3.7625000000000002</c:v>
                </c:pt>
                <c:pt idx="302">
                  <c:v>3.7749999999999999</c:v>
                </c:pt>
                <c:pt idx="303">
                  <c:v>3.7875000000000001</c:v>
                </c:pt>
                <c:pt idx="304">
                  <c:v>3.8</c:v>
                </c:pt>
                <c:pt idx="305">
                  <c:v>3.8125</c:v>
                </c:pt>
                <c:pt idx="306">
                  <c:v>3.8250000000000002</c:v>
                </c:pt>
                <c:pt idx="307">
                  <c:v>3.8374999999999999</c:v>
                </c:pt>
                <c:pt idx="308">
                  <c:v>3.85</c:v>
                </c:pt>
                <c:pt idx="309">
                  <c:v>3.8624999999999998</c:v>
                </c:pt>
                <c:pt idx="310">
                  <c:v>3.875</c:v>
                </c:pt>
                <c:pt idx="311">
                  <c:v>3.8875000000000002</c:v>
                </c:pt>
                <c:pt idx="312">
                  <c:v>3.9</c:v>
                </c:pt>
                <c:pt idx="313">
                  <c:v>3.9125000000000001</c:v>
                </c:pt>
                <c:pt idx="314">
                  <c:v>3.9249999999999998</c:v>
                </c:pt>
                <c:pt idx="315">
                  <c:v>3.9375</c:v>
                </c:pt>
                <c:pt idx="316">
                  <c:v>3.95</c:v>
                </c:pt>
                <c:pt idx="317">
                  <c:v>3.9624999999999999</c:v>
                </c:pt>
                <c:pt idx="318">
                  <c:v>3.9750000000000001</c:v>
                </c:pt>
                <c:pt idx="319">
                  <c:v>3.9874999999999998</c:v>
                </c:pt>
                <c:pt idx="320">
                  <c:v>4</c:v>
                </c:pt>
                <c:pt idx="321">
                  <c:v>4.0125000000000002</c:v>
                </c:pt>
                <c:pt idx="322">
                  <c:v>4.0250000000000004</c:v>
                </c:pt>
                <c:pt idx="323">
                  <c:v>4.0374999999999996</c:v>
                </c:pt>
                <c:pt idx="324">
                  <c:v>4.05</c:v>
                </c:pt>
                <c:pt idx="325">
                  <c:v>4.0625</c:v>
                </c:pt>
                <c:pt idx="326">
                  <c:v>4.0750000000000002</c:v>
                </c:pt>
                <c:pt idx="327">
                  <c:v>4.0875000000000004</c:v>
                </c:pt>
                <c:pt idx="328">
                  <c:v>4.0999999999999996</c:v>
                </c:pt>
                <c:pt idx="329">
                  <c:v>4.1124999999999998</c:v>
                </c:pt>
                <c:pt idx="330">
                  <c:v>4.125</c:v>
                </c:pt>
                <c:pt idx="331">
                  <c:v>4.1375000000000002</c:v>
                </c:pt>
                <c:pt idx="332">
                  <c:v>4.1500000000000004</c:v>
                </c:pt>
                <c:pt idx="333">
                  <c:v>4.1624999999999996</c:v>
                </c:pt>
                <c:pt idx="334">
                  <c:v>4.1749999999999998</c:v>
                </c:pt>
                <c:pt idx="335">
                  <c:v>4.1875</c:v>
                </c:pt>
                <c:pt idx="336">
                  <c:v>4.2</c:v>
                </c:pt>
                <c:pt idx="337">
                  <c:v>4.2125000000000004</c:v>
                </c:pt>
                <c:pt idx="338">
                  <c:v>4.2249999999999996</c:v>
                </c:pt>
                <c:pt idx="339">
                  <c:v>4.2374999999999998</c:v>
                </c:pt>
                <c:pt idx="340">
                  <c:v>4.25</c:v>
                </c:pt>
                <c:pt idx="341">
                  <c:v>4.2625000000000002</c:v>
                </c:pt>
                <c:pt idx="342">
                  <c:v>4.2750000000000004</c:v>
                </c:pt>
                <c:pt idx="343">
                  <c:v>4.2874999999999996</c:v>
                </c:pt>
                <c:pt idx="344">
                  <c:v>4.3</c:v>
                </c:pt>
                <c:pt idx="345">
                  <c:v>4.3125</c:v>
                </c:pt>
                <c:pt idx="346">
                  <c:v>4.3250000000000002</c:v>
                </c:pt>
                <c:pt idx="347">
                  <c:v>4.3375000000000004</c:v>
                </c:pt>
                <c:pt idx="348">
                  <c:v>4.3499999999999996</c:v>
                </c:pt>
                <c:pt idx="349">
                  <c:v>4.3624999999999998</c:v>
                </c:pt>
                <c:pt idx="350">
                  <c:v>4.375</c:v>
                </c:pt>
                <c:pt idx="351">
                  <c:v>4.3875000000000002</c:v>
                </c:pt>
                <c:pt idx="352">
                  <c:v>4.4000000000000004</c:v>
                </c:pt>
                <c:pt idx="353">
                  <c:v>4.4124999999999996</c:v>
                </c:pt>
                <c:pt idx="354">
                  <c:v>4.4249999999999998</c:v>
                </c:pt>
                <c:pt idx="355">
                  <c:v>4.4375</c:v>
                </c:pt>
                <c:pt idx="356">
                  <c:v>4.45</c:v>
                </c:pt>
                <c:pt idx="357">
                  <c:v>4.4625000000000004</c:v>
                </c:pt>
                <c:pt idx="358">
                  <c:v>4.4749999999999996</c:v>
                </c:pt>
                <c:pt idx="359">
                  <c:v>4.4874999999999998</c:v>
                </c:pt>
                <c:pt idx="360">
                  <c:v>4.5</c:v>
                </c:pt>
                <c:pt idx="361">
                  <c:v>4.5125000000000002</c:v>
                </c:pt>
                <c:pt idx="362">
                  <c:v>4.5250000000000004</c:v>
                </c:pt>
                <c:pt idx="363">
                  <c:v>4.5374999999999996</c:v>
                </c:pt>
                <c:pt idx="364">
                  <c:v>4.55</c:v>
                </c:pt>
                <c:pt idx="365">
                  <c:v>4.5625</c:v>
                </c:pt>
                <c:pt idx="366">
                  <c:v>4.5750000000000002</c:v>
                </c:pt>
                <c:pt idx="367">
                  <c:v>4.5875000000000004</c:v>
                </c:pt>
                <c:pt idx="368">
                  <c:v>4.5999999999999996</c:v>
                </c:pt>
                <c:pt idx="369">
                  <c:v>4.6124999999999998</c:v>
                </c:pt>
                <c:pt idx="370">
                  <c:v>4.625</c:v>
                </c:pt>
                <c:pt idx="371">
                  <c:v>4.6375000000000002</c:v>
                </c:pt>
                <c:pt idx="372">
                  <c:v>4.6500000000000004</c:v>
                </c:pt>
                <c:pt idx="373">
                  <c:v>4.6624999999999996</c:v>
                </c:pt>
                <c:pt idx="374">
                  <c:v>4.6749999999999998</c:v>
                </c:pt>
                <c:pt idx="375">
                  <c:v>4.6875</c:v>
                </c:pt>
                <c:pt idx="376">
                  <c:v>4.7</c:v>
                </c:pt>
                <c:pt idx="377">
                  <c:v>4.7125000000000004</c:v>
                </c:pt>
                <c:pt idx="378">
                  <c:v>4.7249999999999996</c:v>
                </c:pt>
                <c:pt idx="379">
                  <c:v>4.7374999999999998</c:v>
                </c:pt>
                <c:pt idx="380">
                  <c:v>4.75</c:v>
                </c:pt>
                <c:pt idx="381">
                  <c:v>4.7625000000000002</c:v>
                </c:pt>
                <c:pt idx="382">
                  <c:v>4.7750000000000004</c:v>
                </c:pt>
                <c:pt idx="383">
                  <c:v>4.7874999999999996</c:v>
                </c:pt>
                <c:pt idx="384">
                  <c:v>4.8</c:v>
                </c:pt>
                <c:pt idx="385">
                  <c:v>4.8125</c:v>
                </c:pt>
                <c:pt idx="386">
                  <c:v>4.8250000000000002</c:v>
                </c:pt>
                <c:pt idx="387">
                  <c:v>4.8375000000000004</c:v>
                </c:pt>
                <c:pt idx="388">
                  <c:v>4.8499999999999996</c:v>
                </c:pt>
                <c:pt idx="389">
                  <c:v>4.8624999999999998</c:v>
                </c:pt>
                <c:pt idx="390">
                  <c:v>4.875</c:v>
                </c:pt>
                <c:pt idx="391">
                  <c:v>4.8875000000000002</c:v>
                </c:pt>
                <c:pt idx="392">
                  <c:v>4.9000000000000004</c:v>
                </c:pt>
                <c:pt idx="393">
                  <c:v>4.9124999999999996</c:v>
                </c:pt>
                <c:pt idx="394">
                  <c:v>4.9249999999999998</c:v>
                </c:pt>
                <c:pt idx="395">
                  <c:v>4.9375</c:v>
                </c:pt>
                <c:pt idx="396">
                  <c:v>4.95</c:v>
                </c:pt>
                <c:pt idx="397">
                  <c:v>4.9625000000000004</c:v>
                </c:pt>
                <c:pt idx="398">
                  <c:v>4.9749999999999996</c:v>
                </c:pt>
                <c:pt idx="399">
                  <c:v>4.9874999999999998</c:v>
                </c:pt>
                <c:pt idx="400">
                  <c:v>5</c:v>
                </c:pt>
              </c:numCache>
            </c:numRef>
          </c:xVal>
          <c:yVal>
            <c:numRef>
              <c:f>'Clean and dirty const YTM'!$T$3:$T$403</c:f>
              <c:numCache>
                <c:formatCode>General</c:formatCode>
                <c:ptCount val="401"/>
                <c:pt idx="0">
                  <c:v>98.028239292273796</c:v>
                </c:pt>
                <c:pt idx="1">
                  <c:v>98.08817413432682</c:v>
                </c:pt>
                <c:pt idx="2">
                  <c:v>98.148145620772482</c:v>
                </c:pt>
                <c:pt idx="3">
                  <c:v>98.208153774015329</c:v>
                </c:pt>
                <c:pt idx="4">
                  <c:v>98.268198616473597</c:v>
                </c:pt>
                <c:pt idx="5">
                  <c:v>98.328280170579177</c:v>
                </c:pt>
                <c:pt idx="6">
                  <c:v>98.388398458777729</c:v>
                </c:pt>
                <c:pt idx="7">
                  <c:v>98.448553503528615</c:v>
                </c:pt>
                <c:pt idx="8">
                  <c:v>98.508745327304922</c:v>
                </c:pt>
                <c:pt idx="9">
                  <c:v>98.56897395259351</c:v>
                </c:pt>
                <c:pt idx="10">
                  <c:v>98.629239401894949</c:v>
                </c:pt>
                <c:pt idx="11">
                  <c:v>98.68954169772357</c:v>
                </c:pt>
                <c:pt idx="12">
                  <c:v>98.749880862607512</c:v>
                </c:pt>
                <c:pt idx="13">
                  <c:v>98.81025691908863</c:v>
                </c:pt>
                <c:pt idx="14">
                  <c:v>98.87066988972262</c:v>
                </c:pt>
                <c:pt idx="15">
                  <c:v>98.931119797078907</c:v>
                </c:pt>
                <c:pt idx="16">
                  <c:v>98.991606663740725</c:v>
                </c:pt>
                <c:pt idx="17">
                  <c:v>99.052130512305197</c:v>
                </c:pt>
                <c:pt idx="18">
                  <c:v>99.112691365383171</c:v>
                </c:pt>
                <c:pt idx="19">
                  <c:v>99.173289245599321</c:v>
                </c:pt>
                <c:pt idx="20">
                  <c:v>99.233924175592207</c:v>
                </c:pt>
                <c:pt idx="21">
                  <c:v>99.294596178014217</c:v>
                </c:pt>
                <c:pt idx="22">
                  <c:v>99.355305275531578</c:v>
                </c:pt>
                <c:pt idx="23">
                  <c:v>99.41605149082433</c:v>
                </c:pt>
                <c:pt idx="24">
                  <c:v>99.476834846586456</c:v>
                </c:pt>
                <c:pt idx="25">
                  <c:v>99.537655365525808</c:v>
                </c:pt>
                <c:pt idx="26">
                  <c:v>99.598513070364049</c:v>
                </c:pt>
                <c:pt idx="27">
                  <c:v>99.659407983836786</c:v>
                </c:pt>
                <c:pt idx="28">
                  <c:v>99.720340128693536</c:v>
                </c:pt>
                <c:pt idx="29">
                  <c:v>99.781309527697701</c:v>
                </c:pt>
                <c:pt idx="30">
                  <c:v>99.842316203626638</c:v>
                </c:pt>
                <c:pt idx="31">
                  <c:v>99.903360179271573</c:v>
                </c:pt>
                <c:pt idx="32">
                  <c:v>99.964441477437674</c:v>
                </c:pt>
                <c:pt idx="33">
                  <c:v>100.02556012094414</c:v>
                </c:pt>
                <c:pt idx="34">
                  <c:v>100.08671613262399</c:v>
                </c:pt>
                <c:pt idx="35">
                  <c:v>100.14790953532429</c:v>
                </c:pt>
                <c:pt idx="36">
                  <c:v>100.20914035190607</c:v>
                </c:pt>
                <c:pt idx="37">
                  <c:v>100.27040860524431</c:v>
                </c:pt>
                <c:pt idx="38">
                  <c:v>100.33171431822799</c:v>
                </c:pt>
                <c:pt idx="39">
                  <c:v>100.3930575137601</c:v>
                </c:pt>
                <c:pt idx="40">
                  <c:v>100.45443821475757</c:v>
                </c:pt>
                <c:pt idx="41">
                  <c:v>98.26448078550861</c:v>
                </c:pt>
                <c:pt idx="42">
                  <c:v>98.324560066518075</c:v>
                </c:pt>
                <c:pt idx="43">
                  <c:v>98.38467608023069</c:v>
                </c:pt>
                <c:pt idx="44">
                  <c:v>98.444828849105036</c:v>
                </c:pt>
                <c:pt idx="45">
                  <c:v>98.50501839561332</c:v>
                </c:pt>
                <c:pt idx="46">
                  <c:v>98.565244742241561</c:v>
                </c:pt>
                <c:pt idx="47">
                  <c:v>98.62550791148945</c:v>
                </c:pt>
                <c:pt idx="48">
                  <c:v>98.685807925870535</c:v>
                </c:pt>
                <c:pt idx="49">
                  <c:v>98.746144807912003</c:v>
                </c:pt>
                <c:pt idx="50">
                  <c:v>98.806518580154943</c:v>
                </c:pt>
                <c:pt idx="51">
                  <c:v>98.866929265154141</c:v>
                </c:pt>
                <c:pt idx="52">
                  <c:v>98.927376885478182</c:v>
                </c:pt>
                <c:pt idx="53">
                  <c:v>98.987861463709493</c:v>
                </c:pt>
                <c:pt idx="54">
                  <c:v>99.048383022444284</c:v>
                </c:pt>
                <c:pt idx="55">
                  <c:v>99.108941584292523</c:v>
                </c:pt>
                <c:pt idx="56">
                  <c:v>99.169537171878119</c:v>
                </c:pt>
                <c:pt idx="57">
                  <c:v>99.230169807838749</c:v>
                </c:pt>
                <c:pt idx="58">
                  <c:v>99.29083951482589</c:v>
                </c:pt>
                <c:pt idx="59">
                  <c:v>99.351546315504933</c:v>
                </c:pt>
                <c:pt idx="60">
                  <c:v>99.412290232555108</c:v>
                </c:pt>
                <c:pt idx="61">
                  <c:v>99.473071288669473</c:v>
                </c:pt>
                <c:pt idx="62">
                  <c:v>99.533889506555042</c:v>
                </c:pt>
                <c:pt idx="63">
                  <c:v>99.59474490893264</c:v>
                </c:pt>
                <c:pt idx="64">
                  <c:v>99.65563751853702</c:v>
                </c:pt>
                <c:pt idx="65">
                  <c:v>99.716567358116791</c:v>
                </c:pt>
                <c:pt idx="66">
                  <c:v>99.777534450434558</c:v>
                </c:pt>
                <c:pt idx="67">
                  <c:v>99.838538818266727</c:v>
                </c:pt>
                <c:pt idx="68">
                  <c:v>99.899580484403742</c:v>
                </c:pt>
                <c:pt idx="69">
                  <c:v>99.96065947164989</c:v>
                </c:pt>
                <c:pt idx="70">
                  <c:v>100.02177580282347</c:v>
                </c:pt>
                <c:pt idx="71">
                  <c:v>100.08292950075671</c:v>
                </c:pt>
                <c:pt idx="72">
                  <c:v>100.14412058829575</c:v>
                </c:pt>
                <c:pt idx="73">
                  <c:v>100.20534908830075</c:v>
                </c:pt>
                <c:pt idx="74">
                  <c:v>100.26661502364587</c:v>
                </c:pt>
                <c:pt idx="75">
                  <c:v>100.32791841721919</c:v>
                </c:pt>
                <c:pt idx="76">
                  <c:v>100.38925929192283</c:v>
                </c:pt>
                <c:pt idx="77">
                  <c:v>100.45063767067288</c:v>
                </c:pt>
                <c:pt idx="78">
                  <c:v>100.51205357639945</c:v>
                </c:pt>
                <c:pt idx="79">
                  <c:v>100.57350703204672</c:v>
                </c:pt>
                <c:pt idx="80">
                  <c:v>100.63499806057283</c:v>
                </c:pt>
                <c:pt idx="81">
                  <c:v>98.445151026307187</c:v>
                </c:pt>
                <c:pt idx="82">
                  <c:v>98.505340769795836</c:v>
                </c:pt>
                <c:pt idx="83">
                  <c:v>98.565567313524895</c:v>
                </c:pt>
                <c:pt idx="84">
                  <c:v>98.625830679994095</c:v>
                </c:pt>
                <c:pt idx="85">
                  <c:v>98.686130891717085</c:v>
                </c:pt>
                <c:pt idx="86">
                  <c:v>98.746467971221108</c:v>
                </c:pt>
                <c:pt idx="87">
                  <c:v>98.806841941047338</c:v>
                </c:pt>
                <c:pt idx="88">
                  <c:v>98.867252823750633</c:v>
                </c:pt>
                <c:pt idx="89">
                  <c:v>98.927700641899634</c:v>
                </c:pt>
                <c:pt idx="90">
                  <c:v>98.988185418076867</c:v>
                </c:pt>
                <c:pt idx="91">
                  <c:v>99.048707174878601</c:v>
                </c:pt>
                <c:pt idx="92">
                  <c:v>99.109265934914916</c:v>
                </c:pt>
                <c:pt idx="93">
                  <c:v>99.16986172080972</c:v>
                </c:pt>
                <c:pt idx="94">
                  <c:v>99.230494555200792</c:v>
                </c:pt>
                <c:pt idx="95">
                  <c:v>99.291164460739722</c:v>
                </c:pt>
                <c:pt idx="96">
                  <c:v>99.351871460091942</c:v>
                </c:pt>
                <c:pt idx="97">
                  <c:v>99.412615575936769</c:v>
                </c:pt>
                <c:pt idx="98">
                  <c:v>99.473396830967332</c:v>
                </c:pt>
                <c:pt idx="99">
                  <c:v>99.5342152478907</c:v>
                </c:pt>
                <c:pt idx="100">
                  <c:v>99.595070849427799</c:v>
                </c:pt>
                <c:pt idx="101">
                  <c:v>99.655963658313453</c:v>
                </c:pt>
                <c:pt idx="102">
                  <c:v>99.716893697296342</c:v>
                </c:pt>
                <c:pt idx="103">
                  <c:v>99.777860989139128</c:v>
                </c:pt>
                <c:pt idx="104">
                  <c:v>99.83886555661833</c:v>
                </c:pt>
                <c:pt idx="105">
                  <c:v>99.899907422524421</c:v>
                </c:pt>
                <c:pt idx="106">
                  <c:v>99.960986609661802</c:v>
                </c:pt>
                <c:pt idx="107">
                  <c:v>100.02210314084883</c:v>
                </c:pt>
                <c:pt idx="108">
                  <c:v>100.08325703891776</c:v>
                </c:pt>
                <c:pt idx="109">
                  <c:v>100.14444832671491</c:v>
                </c:pt>
                <c:pt idx="110">
                  <c:v>100.20567702710044</c:v>
                </c:pt>
                <c:pt idx="111">
                  <c:v>100.26694316294859</c:v>
                </c:pt>
                <c:pt idx="112">
                  <c:v>100.32824675714755</c:v>
                </c:pt>
                <c:pt idx="113">
                  <c:v>100.38958783259947</c:v>
                </c:pt>
                <c:pt idx="114">
                  <c:v>100.45096641222055</c:v>
                </c:pt>
                <c:pt idx="115">
                  <c:v>100.51238251894098</c:v>
                </c:pt>
                <c:pt idx="116">
                  <c:v>100.57383617570497</c:v>
                </c:pt>
                <c:pt idx="117">
                  <c:v>100.63532740547078</c:v>
                </c:pt>
                <c:pt idx="118">
                  <c:v>100.69685623121065</c:v>
                </c:pt>
                <c:pt idx="119">
                  <c:v>100.75842267591094</c:v>
                </c:pt>
                <c:pt idx="120">
                  <c:v>100.82002676257201</c:v>
                </c:pt>
                <c:pt idx="121">
                  <c:v>98.6302928555655</c:v>
                </c:pt>
                <c:pt idx="122">
                  <c:v>98.690595795479737</c:v>
                </c:pt>
                <c:pt idx="123">
                  <c:v>98.750935604843107</c:v>
                </c:pt>
                <c:pt idx="124">
                  <c:v>98.811312306197678</c:v>
                </c:pt>
                <c:pt idx="125">
                  <c:v>98.871725922099401</c:v>
                </c:pt>
                <c:pt idx="126">
                  <c:v>98.932176475117927</c:v>
                </c:pt>
                <c:pt idx="127">
                  <c:v>98.992663987836778</c:v>
                </c:pt>
                <c:pt idx="128">
                  <c:v>99.053188482853258</c:v>
                </c:pt>
                <c:pt idx="129">
                  <c:v>99.113749982778472</c:v>
                </c:pt>
                <c:pt idx="130">
                  <c:v>99.17434851023738</c:v>
                </c:pt>
                <c:pt idx="131">
                  <c:v>99.234984087868753</c:v>
                </c:pt>
                <c:pt idx="132">
                  <c:v>99.295656738325192</c:v>
                </c:pt>
                <c:pt idx="133">
                  <c:v>99.356366484273181</c:v>
                </c:pt>
                <c:pt idx="134">
                  <c:v>99.417113348393045</c:v>
                </c:pt>
                <c:pt idx="135">
                  <c:v>99.477897353378978</c:v>
                </c:pt>
                <c:pt idx="136">
                  <c:v>99.538718521939046</c:v>
                </c:pt>
                <c:pt idx="137">
                  <c:v>99.599576876795197</c:v>
                </c:pt>
                <c:pt idx="138">
                  <c:v>99.660472440683279</c:v>
                </c:pt>
                <c:pt idx="139">
                  <c:v>99.721405236353021</c:v>
                </c:pt>
                <c:pt idx="140">
                  <c:v>99.782375286568126</c:v>
                </c:pt>
                <c:pt idx="141">
                  <c:v>99.843382614106119</c:v>
                </c:pt>
                <c:pt idx="142">
                  <c:v>99.904427241758512</c:v>
                </c:pt>
                <c:pt idx="143">
                  <c:v>99.965509192330728</c:v>
                </c:pt>
                <c:pt idx="144">
                  <c:v>100.02662848864216</c:v>
                </c:pt>
                <c:pt idx="145">
                  <c:v>100.08778515352613</c:v>
                </c:pt>
                <c:pt idx="146">
                  <c:v>100.14897920982992</c:v>
                </c:pt>
                <c:pt idx="147">
                  <c:v>100.2102106804148</c:v>
                </c:pt>
                <c:pt idx="148">
                  <c:v>100.27147958815603</c:v>
                </c:pt>
                <c:pt idx="149">
                  <c:v>100.33278595594277</c:v>
                </c:pt>
                <c:pt idx="150">
                  <c:v>100.39412980667827</c:v>
                </c:pt>
                <c:pt idx="151">
                  <c:v>100.45551116327974</c:v>
                </c:pt>
                <c:pt idx="152">
                  <c:v>100.51693004867842</c:v>
                </c:pt>
                <c:pt idx="153">
                  <c:v>100.57838648581956</c:v>
                </c:pt>
                <c:pt idx="154">
                  <c:v>100.63988049766246</c:v>
                </c:pt>
                <c:pt idx="155">
                  <c:v>100.70141210718039</c:v>
                </c:pt>
                <c:pt idx="156">
                  <c:v>100.76298133736074</c:v>
                </c:pt>
                <c:pt idx="157">
                  <c:v>100.82458821120493</c:v>
                </c:pt>
                <c:pt idx="158">
                  <c:v>100.88623275172841</c:v>
                </c:pt>
                <c:pt idx="159">
                  <c:v>100.94791498196079</c:v>
                </c:pt>
                <c:pt idx="160">
                  <c:v>101.00963492494567</c:v>
                </c:pt>
                <c:pt idx="161">
                  <c:v>98.820016945097976</c:v>
                </c:pt>
                <c:pt idx="162">
                  <c:v>98.88043588304933</c:v>
                </c:pt>
                <c:pt idx="163">
                  <c:v>98.940891761371446</c:v>
                </c:pt>
                <c:pt idx="164">
                  <c:v>99.001384602649779</c:v>
                </c:pt>
                <c:pt idx="165">
                  <c:v>99.061914429483664</c:v>
                </c:pt>
                <c:pt idx="166">
                  <c:v>99.122481264486183</c:v>
                </c:pt>
                <c:pt idx="167">
                  <c:v>99.183085130284255</c:v>
                </c:pt>
                <c:pt idx="168">
                  <c:v>99.243726049518671</c:v>
                </c:pt>
                <c:pt idx="169">
                  <c:v>99.304404044844048</c:v>
                </c:pt>
                <c:pt idx="170">
                  <c:v>99.365119138928847</c:v>
                </c:pt>
                <c:pt idx="171">
                  <c:v>99.425871354455381</c:v>
                </c:pt>
                <c:pt idx="172">
                  <c:v>99.486660714119878</c:v>
                </c:pt>
                <c:pt idx="173">
                  <c:v>99.547487240632364</c:v>
                </c:pt>
                <c:pt idx="174">
                  <c:v>99.608350956716805</c:v>
                </c:pt>
                <c:pt idx="175">
                  <c:v>99.669251885111052</c:v>
                </c:pt>
                <c:pt idx="176">
                  <c:v>99.730190048566868</c:v>
                </c:pt>
                <c:pt idx="177">
                  <c:v>99.791165469849886</c:v>
                </c:pt>
                <c:pt idx="178">
                  <c:v>99.852178171739695</c:v>
                </c:pt>
                <c:pt idx="179">
                  <c:v>99.913228177029794</c:v>
                </c:pt>
                <c:pt idx="180">
                  <c:v>99.974315508527653</c:v>
                </c:pt>
                <c:pt idx="181">
                  <c:v>100.03544018905463</c:v>
                </c:pt>
                <c:pt idx="182">
                  <c:v>100.09660224144609</c:v>
                </c:pt>
                <c:pt idx="183">
                  <c:v>100.15780168855132</c:v>
                </c:pt>
                <c:pt idx="184">
                  <c:v>100.21903855323357</c:v>
                </c:pt>
                <c:pt idx="185">
                  <c:v>100.28031285837012</c:v>
                </c:pt>
                <c:pt idx="186">
                  <c:v>100.34162462685222</c:v>
                </c:pt>
                <c:pt idx="187">
                  <c:v>100.40297388158507</c:v>
                </c:pt>
                <c:pt idx="188">
                  <c:v>100.46436064548793</c:v>
                </c:pt>
                <c:pt idx="189">
                  <c:v>100.52578494149402</c:v>
                </c:pt>
                <c:pt idx="190">
                  <c:v>100.58724679255064</c:v>
                </c:pt>
                <c:pt idx="191">
                  <c:v>100.64874622161909</c:v>
                </c:pt>
                <c:pt idx="192">
                  <c:v>100.71028325167471</c:v>
                </c:pt>
                <c:pt idx="193">
                  <c:v>100.77185790570688</c:v>
                </c:pt>
                <c:pt idx="194">
                  <c:v>100.83347020671904</c:v>
                </c:pt>
                <c:pt idx="195">
                  <c:v>100.89512017772873</c:v>
                </c:pt>
                <c:pt idx="196">
                  <c:v>100.95680784176749</c:v>
                </c:pt>
                <c:pt idx="197">
                  <c:v>101.01853322188099</c:v>
                </c:pt>
                <c:pt idx="198">
                  <c:v>101.08029634112901</c:v>
                </c:pt>
                <c:pt idx="199">
                  <c:v>101.14209722258538</c:v>
                </c:pt>
                <c:pt idx="200">
                  <c:v>101.20393588933808</c:v>
                </c:pt>
                <c:pt idx="201">
                  <c:v>99.01443670584635</c:v>
                </c:pt>
                <c:pt idx="202">
                  <c:v>99.074974512786241</c:v>
                </c:pt>
                <c:pt idx="203">
                  <c:v>99.135549332773863</c:v>
                </c:pt>
                <c:pt idx="204">
                  <c:v>99.196161188439092</c:v>
                </c:pt>
                <c:pt idx="205">
                  <c:v>99.256810102425703</c:v>
                </c:pt>
                <c:pt idx="206">
                  <c:v>99.31749609739127</c:v>
                </c:pt>
                <c:pt idx="207">
                  <c:v>99.378219196007308</c:v>
                </c:pt>
                <c:pt idx="208">
                  <c:v>99.438979420959058</c:v>
                </c:pt>
                <c:pt idx="209">
                  <c:v>99.499776794945745</c:v>
                </c:pt>
                <c:pt idx="210">
                  <c:v>99.560611340680438</c:v>
                </c:pt>
                <c:pt idx="211">
                  <c:v>99.621483080890073</c:v>
                </c:pt>
                <c:pt idx="212">
                  <c:v>99.682392038315484</c:v>
                </c:pt>
                <c:pt idx="213">
                  <c:v>99.74333823571142</c:v>
                </c:pt>
                <c:pt idx="214">
                  <c:v>99.804321695846568</c:v>
                </c:pt>
                <c:pt idx="215">
                  <c:v>99.865342441503486</c:v>
                </c:pt>
                <c:pt idx="216">
                  <c:v>99.926400495478717</c:v>
                </c:pt>
                <c:pt idx="217">
                  <c:v>99.987495880582657</c:v>
                </c:pt>
                <c:pt idx="218">
                  <c:v>100.04862861963976</c:v>
                </c:pt>
                <c:pt idx="219">
                  <c:v>100.10979873548833</c:v>
                </c:pt>
                <c:pt idx="220">
                  <c:v>100.17100625098068</c:v>
                </c:pt>
                <c:pt idx="221">
                  <c:v>100.23225118898314</c:v>
                </c:pt>
                <c:pt idx="222">
                  <c:v>100.29353357237595</c:v>
                </c:pt>
                <c:pt idx="223">
                  <c:v>100.35485342405336</c:v>
                </c:pt>
                <c:pt idx="224">
                  <c:v>100.41621076692363</c:v>
                </c:pt>
                <c:pt idx="225">
                  <c:v>100.47760562390903</c:v>
                </c:pt>
                <c:pt idx="226">
                  <c:v>100.53903801794581</c:v>
                </c:pt>
                <c:pt idx="227">
                  <c:v>100.60050797198429</c:v>
                </c:pt>
                <c:pt idx="228">
                  <c:v>100.66201550898879</c:v>
                </c:pt>
                <c:pt idx="229">
                  <c:v>100.72356065193766</c:v>
                </c:pt>
                <c:pt idx="230">
                  <c:v>100.78514342382336</c:v>
                </c:pt>
                <c:pt idx="231">
                  <c:v>100.84676384765234</c:v>
                </c:pt>
                <c:pt idx="232">
                  <c:v>100.90842194644515</c:v>
                </c:pt>
                <c:pt idx="233">
                  <c:v>100.9701177432364</c:v>
                </c:pt>
                <c:pt idx="234">
                  <c:v>101.03185126107481</c:v>
                </c:pt>
                <c:pt idx="235">
                  <c:v>101.09362252302313</c:v>
                </c:pt>
                <c:pt idx="236">
                  <c:v>101.15543155215829</c:v>
                </c:pt>
                <c:pt idx="237">
                  <c:v>101.2172783715713</c:v>
                </c:pt>
                <c:pt idx="238">
                  <c:v>101.27916300436726</c:v>
                </c:pt>
                <c:pt idx="239">
                  <c:v>101.34108547366543</c:v>
                </c:pt>
                <c:pt idx="240">
                  <c:v>101.40304580259919</c:v>
                </c:pt>
                <c:pt idx="241">
                  <c:v>99.213668355673292</c:v>
                </c:pt>
                <c:pt idx="242">
                  <c:v>99.274327973609175</c:v>
                </c:pt>
                <c:pt idx="243">
                  <c:v>99.335024679068496</c:v>
                </c:pt>
                <c:pt idx="244">
                  <c:v>99.395758494726678</c:v>
                </c:pt>
                <c:pt idx="245">
                  <c:v>99.45652944327307</c:v>
                </c:pt>
                <c:pt idx="246">
                  <c:v>99.51733754741079</c:v>
                </c:pt>
                <c:pt idx="247">
                  <c:v>99.578182829856999</c:v>
                </c:pt>
                <c:pt idx="248">
                  <c:v>99.639065313342599</c:v>
                </c:pt>
                <c:pt idx="249">
                  <c:v>99.699985020612473</c:v>
                </c:pt>
                <c:pt idx="250">
                  <c:v>99.760941974425364</c:v>
                </c:pt>
                <c:pt idx="251">
                  <c:v>99.82193619755401</c:v>
                </c:pt>
                <c:pt idx="252">
                  <c:v>99.882967712784918</c:v>
                </c:pt>
                <c:pt idx="253">
                  <c:v>99.944036542918695</c:v>
                </c:pt>
                <c:pt idx="254">
                  <c:v>100.0051427107698</c:v>
                </c:pt>
                <c:pt idx="255">
                  <c:v>100.06628623916666</c:v>
                </c:pt>
                <c:pt idx="256">
                  <c:v>100.12746715095162</c:v>
                </c:pt>
                <c:pt idx="257">
                  <c:v>100.18868546898108</c:v>
                </c:pt>
                <c:pt idx="258">
                  <c:v>100.24994121612534</c:v>
                </c:pt>
                <c:pt idx="259">
                  <c:v>100.3112344152687</c:v>
                </c:pt>
                <c:pt idx="260">
                  <c:v>100.37256508930943</c:v>
                </c:pt>
                <c:pt idx="261">
                  <c:v>100.43393326115988</c:v>
                </c:pt>
                <c:pt idx="262">
                  <c:v>100.49533895374633</c:v>
                </c:pt>
                <c:pt idx="263">
                  <c:v>100.5567821900091</c:v>
                </c:pt>
                <c:pt idx="264">
                  <c:v>100.61826299290252</c:v>
                </c:pt>
                <c:pt idx="265">
                  <c:v>100.679781385395</c:v>
                </c:pt>
                <c:pt idx="266">
                  <c:v>100.74133739046897</c:v>
                </c:pt>
                <c:pt idx="267">
                  <c:v>100.80293103112089</c:v>
                </c:pt>
                <c:pt idx="268">
                  <c:v>100.8645623303613</c:v>
                </c:pt>
                <c:pt idx="269">
                  <c:v>100.92623131121479</c:v>
                </c:pt>
                <c:pt idx="270">
                  <c:v>100.98793799672008</c:v>
                </c:pt>
                <c:pt idx="271">
                  <c:v>101.0496824099299</c:v>
                </c:pt>
                <c:pt idx="272">
                  <c:v>101.11146457391115</c:v>
                </c:pt>
                <c:pt idx="273">
                  <c:v>101.17328451174475</c:v>
                </c:pt>
                <c:pt idx="274">
                  <c:v>101.23514224652584</c:v>
                </c:pt>
                <c:pt idx="275">
                  <c:v>101.29703780136357</c:v>
                </c:pt>
                <c:pt idx="276">
                  <c:v>101.35897119938129</c:v>
                </c:pt>
                <c:pt idx="277">
                  <c:v>101.42094246371646</c:v>
                </c:pt>
                <c:pt idx="278">
                  <c:v>101.48295161752065</c:v>
                </c:pt>
                <c:pt idx="279">
                  <c:v>101.54499868395972</c:v>
                </c:pt>
                <c:pt idx="280">
                  <c:v>101.60708368621354</c:v>
                </c:pt>
                <c:pt idx="281">
                  <c:v>99.41783098883343</c:v>
                </c:pt>
                <c:pt idx="282">
                  <c:v>99.478615432587475</c:v>
                </c:pt>
                <c:pt idx="283">
                  <c:v>99.539437040183927</c:v>
                </c:pt>
                <c:pt idx="284">
                  <c:v>99.600295834344877</c:v>
                </c:pt>
                <c:pt idx="285">
                  <c:v>99.661191837806385</c:v>
                </c:pt>
                <c:pt idx="286">
                  <c:v>99.722125073318296</c:v>
                </c:pt>
                <c:pt idx="287">
                  <c:v>99.78309556364448</c:v>
                </c:pt>
                <c:pt idx="288">
                  <c:v>99.844103331562636</c:v>
                </c:pt>
                <c:pt idx="289">
                  <c:v>99.905148399864444</c:v>
                </c:pt>
                <c:pt idx="290">
                  <c:v>99.966230791355514</c:v>
                </c:pt>
                <c:pt idx="291">
                  <c:v>100.02735052885535</c:v>
                </c:pt>
                <c:pt idx="292">
                  <c:v>100.08850763519749</c:v>
                </c:pt>
                <c:pt idx="293">
                  <c:v>100.14970213322937</c:v>
                </c:pt>
                <c:pt idx="294">
                  <c:v>100.21093404581238</c:v>
                </c:pt>
                <c:pt idx="295">
                  <c:v>100.27220339582198</c:v>
                </c:pt>
                <c:pt idx="296">
                  <c:v>100.33351020614749</c:v>
                </c:pt>
                <c:pt idx="297">
                  <c:v>100.39485449969236</c:v>
                </c:pt>
                <c:pt idx="298">
                  <c:v>100.45623629937394</c:v>
                </c:pt>
                <c:pt idx="299">
                  <c:v>100.51765562812362</c:v>
                </c:pt>
                <c:pt idx="300">
                  <c:v>100.57911250888681</c:v>
                </c:pt>
                <c:pt idx="301">
                  <c:v>100.64060696462298</c:v>
                </c:pt>
                <c:pt idx="302">
                  <c:v>100.7021390183056</c:v>
                </c:pt>
                <c:pt idx="303">
                  <c:v>100.76370869292222</c:v>
                </c:pt>
                <c:pt idx="304">
                  <c:v>100.82531601147437</c:v>
                </c:pt>
                <c:pt idx="305">
                  <c:v>100.88696099697776</c:v>
                </c:pt>
                <c:pt idx="306">
                  <c:v>100.94864367246207</c:v>
                </c:pt>
                <c:pt idx="307">
                  <c:v>101.01036406097111</c:v>
                </c:pt>
                <c:pt idx="308">
                  <c:v>101.07212218556279</c:v>
                </c:pt>
                <c:pt idx="309">
                  <c:v>101.13391806930903</c:v>
                </c:pt>
                <c:pt idx="310">
                  <c:v>101.19575173529597</c:v>
                </c:pt>
                <c:pt idx="311">
                  <c:v>101.25762320662383</c:v>
                </c:pt>
                <c:pt idx="312">
                  <c:v>101.31953250640694</c:v>
                </c:pt>
                <c:pt idx="313">
                  <c:v>101.38147965777372</c:v>
                </c:pt>
                <c:pt idx="314">
                  <c:v>101.44346468386679</c:v>
                </c:pt>
                <c:pt idx="315">
                  <c:v>101.50548760784294</c:v>
                </c:pt>
                <c:pt idx="316">
                  <c:v>101.56754845287303</c:v>
                </c:pt>
                <c:pt idx="317">
                  <c:v>101.62964724214217</c:v>
                </c:pt>
                <c:pt idx="318">
                  <c:v>101.69178399884962</c:v>
                </c:pt>
                <c:pt idx="319">
                  <c:v>101.7539587462088</c:v>
                </c:pt>
                <c:pt idx="320">
                  <c:v>101.81617150744731</c:v>
                </c:pt>
                <c:pt idx="321">
                  <c:v>99.627046647164278</c:v>
                </c:pt>
                <c:pt idx="322">
                  <c:v>99.687959006175461</c:v>
                </c:pt>
                <c:pt idx="323">
                  <c:v>99.748908607236956</c:v>
                </c:pt>
                <c:pt idx="324">
                  <c:v>99.809895473118644</c:v>
                </c:pt>
                <c:pt idx="325">
                  <c:v>99.870919626604405</c:v>
                </c:pt>
                <c:pt idx="326">
                  <c:v>99.931981090492002</c:v>
                </c:pt>
                <c:pt idx="327">
                  <c:v>99.993079887593197</c:v>
                </c:pt>
                <c:pt idx="328">
                  <c:v>100.05421604073359</c:v>
                </c:pt>
                <c:pt idx="329">
                  <c:v>100.11538957275289</c:v>
                </c:pt>
                <c:pt idx="330">
                  <c:v>100.17660050650466</c:v>
                </c:pt>
                <c:pt idx="331">
                  <c:v>100.23784886485642</c:v>
                </c:pt>
                <c:pt idx="332">
                  <c:v>100.29913467068977</c:v>
                </c:pt>
                <c:pt idx="333">
                  <c:v>100.3604579469002</c:v>
                </c:pt>
                <c:pt idx="334">
                  <c:v>100.42181871639727</c:v>
                </c:pt>
                <c:pt idx="335">
                  <c:v>100.48321700210451</c:v>
                </c:pt>
                <c:pt idx="336">
                  <c:v>100.54465282695946</c:v>
                </c:pt>
                <c:pt idx="337">
                  <c:v>100.60612621391374</c:v>
                </c:pt>
                <c:pt idx="338">
                  <c:v>100.66763718593293</c:v>
                </c:pt>
                <c:pt idx="339">
                  <c:v>100.72918576599669</c:v>
                </c:pt>
                <c:pt idx="340">
                  <c:v>100.79077197709876</c:v>
                </c:pt>
                <c:pt idx="341">
                  <c:v>100.85239584224681</c:v>
                </c:pt>
                <c:pt idx="342">
                  <c:v>100.91405738446275</c:v>
                </c:pt>
                <c:pt idx="343">
                  <c:v>100.97575662678246</c:v>
                </c:pt>
                <c:pt idx="344">
                  <c:v>101.03749359225588</c:v>
                </c:pt>
                <c:pt idx="345">
                  <c:v>101.0992683039472</c:v>
                </c:pt>
                <c:pt idx="346">
                  <c:v>101.16108078493451</c:v>
                </c:pt>
                <c:pt idx="347">
                  <c:v>101.22293105831014</c:v>
                </c:pt>
                <c:pt idx="348">
                  <c:v>101.28481914718047</c:v>
                </c:pt>
                <c:pt idx="349">
                  <c:v>101.34674507466609</c:v>
                </c:pt>
                <c:pt idx="350">
                  <c:v>101.40870886390164</c:v>
                </c:pt>
                <c:pt idx="351">
                  <c:v>101.47071053803593</c:v>
                </c:pt>
                <c:pt idx="352">
                  <c:v>101.53275012023198</c:v>
                </c:pt>
                <c:pt idx="353">
                  <c:v>101.59482763366687</c:v>
                </c:pt>
                <c:pt idx="354">
                  <c:v>101.65694310153194</c:v>
                </c:pt>
                <c:pt idx="355">
                  <c:v>101.71909654703266</c:v>
                </c:pt>
                <c:pt idx="356">
                  <c:v>101.7812879933887</c:v>
                </c:pt>
                <c:pt idx="357">
                  <c:v>101.84351746383393</c:v>
                </c:pt>
                <c:pt idx="358">
                  <c:v>101.90578498161646</c:v>
                </c:pt>
                <c:pt idx="359">
                  <c:v>101.96809056999851</c:v>
                </c:pt>
                <c:pt idx="360">
                  <c:v>102.03043425225664</c:v>
                </c:pt>
                <c:pt idx="361">
                  <c:v>99.841440393038809</c:v>
                </c:pt>
                <c:pt idx="362">
                  <c:v>99.902483833209772</c:v>
                </c:pt>
                <c:pt idx="363">
                  <c:v>99.963564595574525</c:v>
                </c:pt>
                <c:pt idx="364">
                  <c:v>100.02468270295203</c:v>
                </c:pt>
                <c:pt idx="365">
                  <c:v>100.08583817817517</c:v>
                </c:pt>
                <c:pt idx="366">
                  <c:v>100.14703104409078</c:v>
                </c:pt>
                <c:pt idx="367">
                  <c:v>100.20826132355964</c:v>
                </c:pt>
                <c:pt idx="368">
                  <c:v>100.26952903945656</c:v>
                </c:pt>
                <c:pt idx="369">
                  <c:v>100.33083421467035</c:v>
                </c:pt>
                <c:pt idx="370">
                  <c:v>100.39217687210373</c:v>
                </c:pt>
                <c:pt idx="371">
                  <c:v>100.45355703467351</c:v>
                </c:pt>
                <c:pt idx="372">
                  <c:v>100.51497472531047</c:v>
                </c:pt>
                <c:pt idx="373">
                  <c:v>100.57642996695938</c:v>
                </c:pt>
                <c:pt idx="374">
                  <c:v>100.63792278257912</c:v>
                </c:pt>
                <c:pt idx="375">
                  <c:v>100.69945319514252</c:v>
                </c:pt>
                <c:pt idx="376">
                  <c:v>100.76102122763655</c:v>
                </c:pt>
                <c:pt idx="377">
                  <c:v>100.82262690306212</c:v>
                </c:pt>
                <c:pt idx="378">
                  <c:v>100.88427024443428</c:v>
                </c:pt>
                <c:pt idx="379">
                  <c:v>100.94595127478215</c:v>
                </c:pt>
                <c:pt idx="380">
                  <c:v>101.00767001714891</c:v>
                </c:pt>
                <c:pt idx="381">
                  <c:v>101.06942649459182</c:v>
                </c:pt>
                <c:pt idx="382">
                  <c:v>101.13122073018226</c:v>
                </c:pt>
                <c:pt idx="383">
                  <c:v>101.19305274700572</c:v>
                </c:pt>
                <c:pt idx="384">
                  <c:v>101.25492256816176</c:v>
                </c:pt>
                <c:pt idx="385">
                  <c:v>101.31683021676412</c:v>
                </c:pt>
                <c:pt idx="386">
                  <c:v>101.37877571594065</c:v>
                </c:pt>
                <c:pt idx="387">
                  <c:v>101.4407590888333</c:v>
                </c:pt>
                <c:pt idx="388">
                  <c:v>101.50278035859824</c:v>
                </c:pt>
                <c:pt idx="389">
                  <c:v>101.56483954840576</c:v>
                </c:pt>
                <c:pt idx="390">
                  <c:v>101.62693668144028</c:v>
                </c:pt>
                <c:pt idx="391">
                  <c:v>101.68907178090051</c:v>
                </c:pt>
                <c:pt idx="392">
                  <c:v>101.75124486999921</c:v>
                </c:pt>
                <c:pt idx="393">
                  <c:v>101.81345597196339</c:v>
                </c:pt>
                <c:pt idx="394">
                  <c:v>101.8757051100343</c:v>
                </c:pt>
                <c:pt idx="395">
                  <c:v>101.93799230746733</c:v>
                </c:pt>
                <c:pt idx="396">
                  <c:v>102.00031758753214</c:v>
                </c:pt>
                <c:pt idx="397">
                  <c:v>102.06268097351258</c:v>
                </c:pt>
                <c:pt idx="398">
                  <c:v>102.12508248870677</c:v>
                </c:pt>
                <c:pt idx="399">
                  <c:v>102.18752215642705</c:v>
                </c:pt>
                <c:pt idx="400">
                  <c:v>102.25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4E1-4F46-9BA9-7A085290C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1837224"/>
        <c:axId val="701834928"/>
      </c:scatterChart>
      <c:valAx>
        <c:axId val="701837224"/>
        <c:scaling>
          <c:orientation val="minMax"/>
          <c:max val="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834928"/>
        <c:crosses val="autoZero"/>
        <c:crossBetween val="midCat"/>
      </c:valAx>
      <c:valAx>
        <c:axId val="701834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18372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Value per 100NV vs YTM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'Duration DV01  PV01'!$C$16</c:f>
              <c:strCache>
                <c:ptCount val="1"/>
                <c:pt idx="0">
                  <c:v>Value 2-year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'Duration DV01  PV01'!$B$17:$B$25</c:f>
              <c:numCache>
                <c:formatCode>0%</c:formatCode>
                <c:ptCount val="9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</c:numCache>
            </c:numRef>
          </c:xVal>
          <c:yVal>
            <c:numRef>
              <c:f>'Duration DV01  PV01'!$C$17:$C$25</c:f>
              <c:numCache>
                <c:formatCode>0.00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536-4B2E-86FD-21D66C2CCA67}"/>
            </c:ext>
          </c:extLst>
        </c:ser>
        <c:ser>
          <c:idx val="1"/>
          <c:order val="1"/>
          <c:tx>
            <c:strRef>
              <c:f>'Duration DV01  PV01'!$D$16</c:f>
              <c:strCache>
                <c:ptCount val="1"/>
                <c:pt idx="0">
                  <c:v>Value 1-year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'Duration DV01  PV01'!$B$17:$B$25</c:f>
              <c:numCache>
                <c:formatCode>0%</c:formatCode>
                <c:ptCount val="9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</c:numCache>
            </c:numRef>
          </c:xVal>
          <c:yVal>
            <c:numRef>
              <c:f>'Duration DV01  PV01'!$D$17:$D$25</c:f>
              <c:numCache>
                <c:formatCode>0.00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536-4B2E-86FD-21D66C2CCA67}"/>
            </c:ext>
          </c:extLst>
        </c:ser>
        <c:ser>
          <c:idx val="2"/>
          <c:order val="2"/>
          <c:tx>
            <c:strRef>
              <c:f>'Duration DV01  PV01'!$E$16</c:f>
              <c:strCache>
                <c:ptCount val="1"/>
                <c:pt idx="0">
                  <c:v>Val at Mat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'Duration DV01  PV01'!$B$17:$B$25</c:f>
              <c:numCache>
                <c:formatCode>0%</c:formatCode>
                <c:ptCount val="9"/>
                <c:pt idx="0">
                  <c:v>0.01</c:v>
                </c:pt>
                <c:pt idx="1">
                  <c:v>0.02</c:v>
                </c:pt>
                <c:pt idx="2">
                  <c:v>0.03</c:v>
                </c:pt>
                <c:pt idx="3">
                  <c:v>0.04</c:v>
                </c:pt>
                <c:pt idx="4">
                  <c:v>0.05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0.08</c:v>
                </c:pt>
                <c:pt idx="8">
                  <c:v>0.09</c:v>
                </c:pt>
              </c:numCache>
            </c:numRef>
          </c:xVal>
          <c:yVal>
            <c:numRef>
              <c:f>'Duration DV01  PV01'!$E$17:$E$25</c:f>
              <c:numCache>
                <c:formatCode>0.00</c:formatCode>
                <c:ptCount val="9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536-4B2E-86FD-21D66C2CCA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75104400"/>
        <c:axId val="275104880"/>
      </c:scatterChart>
      <c:valAx>
        <c:axId val="2751044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104880"/>
        <c:crosses val="autoZero"/>
        <c:crossBetween val="midCat"/>
      </c:valAx>
      <c:valAx>
        <c:axId val="275104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51044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92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Value vs YTM at 1 and 2 years to mat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3843915546047263E-2"/>
          <c:y val="9.1644979180795796E-2"/>
          <c:w val="0.85851138215899825"/>
          <c:h val="0.766118554084170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'Carry and roll'!$J$2</c:f>
              <c:strCache>
                <c:ptCount val="1"/>
                <c:pt idx="0">
                  <c:v>2 years to mat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rgbClr val="92D050"/>
                </a:solidFill>
                <a:ln w="9525">
                  <a:solidFill>
                    <a:srgbClr val="92D05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F029-41C9-BB41-A08A7D3AD6A8}"/>
              </c:ext>
            </c:extLst>
          </c:dPt>
          <c:xVal>
            <c:numRef>
              <c:f>'Carry and roll'!$I$8:$I$18</c:f>
              <c:numCache>
                <c:formatCode>0.00%</c:formatCode>
                <c:ptCount val="11"/>
                <c:pt idx="0">
                  <c:v>3.5999999999999997E-2</c:v>
                </c:pt>
                <c:pt idx="1">
                  <c:v>3.6999999999999998E-2</c:v>
                </c:pt>
                <c:pt idx="2">
                  <c:v>3.7999999999999999E-2</c:v>
                </c:pt>
                <c:pt idx="3">
                  <c:v>3.9E-2</c:v>
                </c:pt>
                <c:pt idx="4">
                  <c:v>0</c:v>
                </c:pt>
                <c:pt idx="5">
                  <c:v>4.1000000000000002E-2</c:v>
                </c:pt>
                <c:pt idx="6">
                  <c:v>4.2000000000000003E-2</c:v>
                </c:pt>
                <c:pt idx="7">
                  <c:v>4.4259482289524636E-2</c:v>
                </c:pt>
                <c:pt idx="8">
                  <c:v>4.3999999999999997E-2</c:v>
                </c:pt>
                <c:pt idx="9">
                  <c:v>4.4999999999999998E-2</c:v>
                </c:pt>
                <c:pt idx="10">
                  <c:v>4.5999999999999999E-2</c:v>
                </c:pt>
              </c:numCache>
            </c:numRef>
          </c:xVal>
          <c:yVal>
            <c:numRef>
              <c:f>'Carry and roll'!$J$8:$J$18</c:f>
              <c:numCache>
                <c:formatCode>0.00</c:formatCode>
                <c:ptCount val="11"/>
                <c:pt idx="0">
                  <c:v>100.28454405867534</c:v>
                </c:pt>
                <c:pt idx="1">
                  <c:v>100.09471167571317</c:v>
                </c:pt>
                <c:pt idx="2">
                  <c:v>99.905424319036541</c:v>
                </c:pt>
                <c:pt idx="3">
                  <c:v>99.716679897843591</c:v>
                </c:pt>
                <c:pt idx="4">
                  <c:v>107.5</c:v>
                </c:pt>
                <c:pt idx="5">
                  <c:v>99.340811548786036</c:v>
                </c:pt>
                <c:pt idx="6">
                  <c:v>99.153683489229707</c:v>
                </c:pt>
                <c:pt idx="7">
                  <c:v>98.732836658853032</c:v>
                </c:pt>
                <c:pt idx="8">
                  <c:v>98.781029344842267</c:v>
                </c:pt>
                <c:pt idx="9">
                  <c:v>98.595499187289676</c:v>
                </c:pt>
                <c:pt idx="10">
                  <c:v>98.41049760720071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029-41C9-BB41-A08A7D3AD6A8}"/>
            </c:ext>
          </c:extLst>
        </c:ser>
        <c:ser>
          <c:idx val="2"/>
          <c:order val="2"/>
          <c:tx>
            <c:strRef>
              <c:f>'Carry and roll'!$K$2</c:f>
              <c:strCache>
                <c:ptCount val="1"/>
                <c:pt idx="0">
                  <c:v>1 year to mat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rgbClr val="FFC000"/>
                </a:solidFill>
                <a:ln w="9525">
                  <a:solidFill>
                    <a:srgbClr val="FFC000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F029-41C9-BB41-A08A7D3AD6A8}"/>
              </c:ext>
            </c:extLst>
          </c:dPt>
          <c:dPt>
            <c:idx val="7"/>
            <c:marker>
              <c:symbol val="circle"/>
              <c:size val="5"/>
              <c:spPr>
                <a:solidFill>
                  <a:schemeClr val="accent1">
                    <a:lumMod val="60000"/>
                    <a:lumOff val="40000"/>
                  </a:schemeClr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F029-41C9-BB41-A08A7D3AD6A8}"/>
              </c:ext>
            </c:extLst>
          </c:dPt>
          <c:xVal>
            <c:numRef>
              <c:f>'Carry and roll'!$I$8:$I$19</c:f>
              <c:numCache>
                <c:formatCode>0.00%</c:formatCode>
                <c:ptCount val="12"/>
                <c:pt idx="0">
                  <c:v>3.5999999999999997E-2</c:v>
                </c:pt>
                <c:pt idx="1">
                  <c:v>3.6999999999999998E-2</c:v>
                </c:pt>
                <c:pt idx="2">
                  <c:v>3.7999999999999999E-2</c:v>
                </c:pt>
                <c:pt idx="3">
                  <c:v>3.9E-2</c:v>
                </c:pt>
                <c:pt idx="4">
                  <c:v>0</c:v>
                </c:pt>
                <c:pt idx="5">
                  <c:v>4.1000000000000002E-2</c:v>
                </c:pt>
                <c:pt idx="6">
                  <c:v>4.2000000000000003E-2</c:v>
                </c:pt>
                <c:pt idx="7">
                  <c:v>4.4259482289524636E-2</c:v>
                </c:pt>
                <c:pt idx="8">
                  <c:v>4.3999999999999997E-2</c:v>
                </c:pt>
                <c:pt idx="9">
                  <c:v>4.4999999999999998E-2</c:v>
                </c:pt>
                <c:pt idx="10">
                  <c:v>4.5999999999999999E-2</c:v>
                </c:pt>
                <c:pt idx="11">
                  <c:v>4.7E-2</c:v>
                </c:pt>
              </c:numCache>
            </c:numRef>
          </c:xVal>
          <c:yVal>
            <c:numRef>
              <c:f>'Carry and roll'!$K$8:$K$19</c:f>
              <c:numCache>
                <c:formatCode>0.00</c:formatCode>
                <c:ptCount val="12"/>
                <c:pt idx="0">
                  <c:v>100.14478764478764</c:v>
                </c:pt>
                <c:pt idx="1">
                  <c:v>100.04821600771456</c:v>
                </c:pt>
                <c:pt idx="2">
                  <c:v>99.95183044315992</c:v>
                </c:pt>
                <c:pt idx="3">
                  <c:v>99.855630413859473</c:v>
                </c:pt>
                <c:pt idx="4">
                  <c:v>103.75</c:v>
                </c:pt>
                <c:pt idx="5">
                  <c:v>99.663784822286274</c:v>
                </c:pt>
                <c:pt idx="6">
                  <c:v>99.568138195777351</c:v>
                </c:pt>
                <c:pt idx="7">
                  <c:v>99.352700894350079</c:v>
                </c:pt>
                <c:pt idx="8">
                  <c:v>99.377394636015325</c:v>
                </c:pt>
                <c:pt idx="9">
                  <c:v>99.282296650717711</c:v>
                </c:pt>
                <c:pt idx="10">
                  <c:v>99.187380497131926</c:v>
                </c:pt>
                <c:pt idx="11">
                  <c:v>99.092645654250248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029-41C9-BB41-A08A7D3AD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255936"/>
        <c:axId val="129579808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'Carry and roll'!#REF!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/>
                    </a:solidFill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'Carry and roll'!$I$11:$I$25</c15:sqref>
                        </c15:formulaRef>
                      </c:ext>
                    </c:extLst>
                    <c:numCache>
                      <c:formatCode>0.00%</c:formatCode>
                      <c:ptCount val="15"/>
                      <c:pt idx="0">
                        <c:v>3.9E-2</c:v>
                      </c:pt>
                      <c:pt idx="1">
                        <c:v>0</c:v>
                      </c:pt>
                      <c:pt idx="2">
                        <c:v>4.1000000000000002E-2</c:v>
                      </c:pt>
                      <c:pt idx="3">
                        <c:v>4.2000000000000003E-2</c:v>
                      </c:pt>
                      <c:pt idx="4">
                        <c:v>4.4259482289524636E-2</c:v>
                      </c:pt>
                      <c:pt idx="5">
                        <c:v>4.3999999999999997E-2</c:v>
                      </c:pt>
                      <c:pt idx="6">
                        <c:v>4.4999999999999998E-2</c:v>
                      </c:pt>
                      <c:pt idx="7">
                        <c:v>4.5999999999999999E-2</c:v>
                      </c:pt>
                      <c:pt idx="8">
                        <c:v>4.7E-2</c:v>
                      </c:pt>
                      <c:pt idx="9">
                        <c:v>4.8000000000000001E-2</c:v>
                      </c:pt>
                      <c:pt idx="10">
                        <c:v>4.9000000000000002E-2</c:v>
                      </c:pt>
                      <c:pt idx="11">
                        <c:v>0.05</c:v>
                      </c:pt>
                      <c:pt idx="12">
                        <c:v>5.0999999999999997E-2</c:v>
                      </c:pt>
                      <c:pt idx="13">
                        <c:v>5.1999999999999998E-2</c:v>
                      </c:pt>
                      <c:pt idx="14">
                        <c:v>5.2999999999999999E-2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'Carry and roll'!#REF!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1-F029-41C9-BB41-A08A7D3AD6A8}"/>
                  </c:ext>
                </c:extLst>
              </c15:ser>
            </c15:filteredScatterSeries>
          </c:ext>
        </c:extLst>
      </c:scatterChart>
      <c:valAx>
        <c:axId val="535255936"/>
        <c:scaling>
          <c:orientation val="minMax"/>
          <c:max val="4.5000000000000012E-2"/>
          <c:min val="3.6000000000000004E-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9579808"/>
        <c:crosses val="autoZero"/>
        <c:crossBetween val="midCat"/>
        <c:majorUnit val="1.0000000000000002E-3"/>
      </c:valAx>
      <c:valAx>
        <c:axId val="129579808"/>
        <c:scaling>
          <c:orientation val="minMax"/>
          <c:max val="101"/>
          <c:min val="98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5255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6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12426197337463"/>
          <c:y val="0.16742562978048553"/>
          <c:w val="0.81546215065075756"/>
          <c:h val="0.590702823236850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'Curve Strategies'!$C$3</c:f>
              <c:strCache>
                <c:ptCount val="1"/>
                <c:pt idx="0">
                  <c:v>Orig. Yield Curve</c:v>
                </c:pt>
              </c:strCache>
            </c:strRef>
          </c:tx>
          <c:marker>
            <c:symbol val="none"/>
          </c:marker>
          <c:xVal>
            <c:numRef>
              <c:f>'Curve Strategies'!$B$4:$B$6</c:f>
              <c:numCache>
                <c:formatCode>#,##0;[Red]\(#,##0\);\-</c:formatCode>
                <c:ptCount val="3"/>
                <c:pt idx="0">
                  <c:v>2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'Curve Strategies'!$C$4:$C$6</c:f>
              <c:numCache>
                <c:formatCode>0.00%</c:formatCode>
                <c:ptCount val="3"/>
                <c:pt idx="0">
                  <c:v>4.0899999999999999E-2</c:v>
                </c:pt>
                <c:pt idx="1">
                  <c:v>3.95E-2</c:v>
                </c:pt>
                <c:pt idx="2">
                  <c:v>3.2500000000000001E-2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438-4ACD-84A6-38094C1D248E}"/>
            </c:ext>
          </c:extLst>
        </c:ser>
        <c:ser>
          <c:idx val="1"/>
          <c:order val="1"/>
          <c:tx>
            <c:strRef>
              <c:f>'Curve Strategies'!$E$3</c:f>
              <c:strCache>
                <c:ptCount val="1"/>
                <c:pt idx="0">
                  <c:v>New Yield Curve</c:v>
                </c:pt>
              </c:strCache>
            </c:strRef>
          </c:tx>
          <c:marker>
            <c:symbol val="none"/>
          </c:marker>
          <c:xVal>
            <c:numRef>
              <c:f>'Curve Strategies'!$B$4:$B$6</c:f>
              <c:numCache>
                <c:formatCode>#,##0;[Red]\(#,##0\);\-</c:formatCode>
                <c:ptCount val="3"/>
                <c:pt idx="0">
                  <c:v>2</c:v>
                </c:pt>
                <c:pt idx="1">
                  <c:v>5</c:v>
                </c:pt>
                <c:pt idx="2">
                  <c:v>10</c:v>
                </c:pt>
              </c:numCache>
            </c:numRef>
          </c:xVal>
          <c:yVal>
            <c:numRef>
              <c:f>'Curve Strategies'!$E$4:$E$6</c:f>
              <c:numCache>
                <c:formatCode>0.00%</c:formatCode>
                <c:ptCount val="3"/>
                <c:pt idx="0">
                  <c:v>4.5899999999999996E-2</c:v>
                </c:pt>
                <c:pt idx="1">
                  <c:v>4.9500000000000002E-2</c:v>
                </c:pt>
                <c:pt idx="2">
                  <c:v>4.2500000000000003E-2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438-4ACD-84A6-38094C1D24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6684416"/>
        <c:axId val="108983808"/>
      </c:scatterChart>
      <c:valAx>
        <c:axId val="86684416"/>
        <c:scaling>
          <c:orientation val="minMax"/>
          <c:max val="10"/>
          <c:min val="2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Maturity (Years)</a:t>
                </a:r>
              </a:p>
            </c:rich>
          </c:tx>
          <c:overlay val="0"/>
        </c:title>
        <c:numFmt formatCode="#,##0;[Red]\(#,##0\);\-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8983808"/>
        <c:crosses val="autoZero"/>
        <c:crossBetween val="midCat"/>
      </c:valAx>
      <c:valAx>
        <c:axId val="108983808"/>
        <c:scaling>
          <c:orientation val="minMax"/>
        </c:scaling>
        <c:delete val="0"/>
        <c:axPos val="l"/>
        <c:majorGridlines>
          <c:spPr>
            <a:ln>
              <a:solidFill>
                <a:schemeClr val="accent5">
                  <a:lumMod val="40000"/>
                  <a:lumOff val="60000"/>
                </a:schemeClr>
              </a:solidFill>
            </a:ln>
          </c:spPr>
        </c:majorGridlines>
        <c:numFmt formatCode="0.00%" sourceLinked="1"/>
        <c:majorTickMark val="out"/>
        <c:minorTickMark val="none"/>
        <c:tickLblPos val="nextTo"/>
        <c:crossAx val="86684416"/>
        <c:crosses val="autoZero"/>
        <c:crossBetween val="midCat"/>
      </c:valAx>
    </c:plotArea>
    <c:legend>
      <c:legendPos val="b"/>
      <c:layout>
        <c:manualLayout>
          <c:xMode val="edge"/>
          <c:yMode val="edge"/>
          <c:x val="0.31062670652364521"/>
          <c:y val="0.89901110090869629"/>
          <c:w val="0.43484455153488322"/>
          <c:h val="4.8791424436431474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000"/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501869</xdr:colOff>
      <xdr:row>13</xdr:row>
      <xdr:rowOff>191581</xdr:rowOff>
    </xdr:from>
    <xdr:ext cx="2663806" cy="132568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EDF36A1-02B4-D74A-A4E9-73752A82A399}"/>
                </a:ext>
              </a:extLst>
            </xdr:cNvPr>
            <xdr:cNvSpPr txBox="1"/>
          </xdr:nvSpPr>
          <xdr:spPr>
            <a:xfrm>
              <a:off x="7694886" y="4165805"/>
              <a:ext cx="2663806" cy="1325684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800" b="0" i="1">
                        <a:latin typeface="Cambria Math" panose="02040503050406030204" pitchFamily="18" charset="0"/>
                      </a:rPr>
                      <m:t>𝐹𝑉</m:t>
                    </m:r>
                    <m:r>
                      <a:rPr lang="en-GB" sz="1800" b="0" i="1">
                        <a:latin typeface="Cambria Math" panose="02040503050406030204" pitchFamily="18" charset="0"/>
                      </a:rPr>
                      <m:t>=</m:t>
                    </m:r>
                    <m:d>
                      <m:dPr>
                        <m:ctrlPr>
                          <a:rPr lang="en-GB" sz="1800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GB" sz="1800" b="0" i="1">
                            <a:latin typeface="Cambria Math" panose="02040503050406030204" pitchFamily="18" charset="0"/>
                          </a:rPr>
                          <m:t>1+</m:t>
                        </m:r>
                        <m:sSub>
                          <m:sSubPr>
                            <m:ctrlPr>
                              <a:rPr lang="en-GB" sz="1800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a:rPr lang="en-GB" sz="1800" b="0" i="1">
                                <a:latin typeface="Cambria Math" panose="02040503050406030204" pitchFamily="18" charset="0"/>
                              </a:rPr>
                              <m:t>𝑟</m:t>
                            </m:r>
                          </m:e>
                          <m:sub>
                            <m:r>
                              <a:rPr lang="en-GB" sz="1800" b="0" i="1">
                                <a:latin typeface="Cambria Math" panose="02040503050406030204" pitchFamily="18" charset="0"/>
                              </a:rPr>
                              <m:t>1−</m:t>
                            </m:r>
                            <m:r>
                              <a:rPr lang="en-GB" sz="1800" b="0" i="1">
                                <a:latin typeface="Cambria Math" panose="02040503050406030204" pitchFamily="18" charset="0"/>
                              </a:rPr>
                              <m:t>𝑤𝑒𝑒𝑘</m:t>
                            </m:r>
                          </m:sub>
                        </m:sSub>
                        <m:r>
                          <a:rPr lang="en-GB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×</m:t>
                        </m:r>
                        <m:f>
                          <m:fPr>
                            <m:ctrlPr>
                              <a:rPr lang="en-GB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</m:ctrlPr>
                          </m:fPr>
                          <m:num>
                            <m:r>
                              <a:rPr lang="en-GB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7</m:t>
                            </m:r>
                          </m:num>
                          <m:den>
                            <m:r>
                              <a:rPr lang="en-GB" sz="1800" b="0" i="1">
                                <a:latin typeface="Cambria Math" panose="02040503050406030204" pitchFamily="18" charset="0"/>
                                <a:ea typeface="Cambria Math" panose="02040503050406030204" pitchFamily="18" charset="0"/>
                              </a:rPr>
                              <m:t>360</m:t>
                            </m:r>
                          </m:den>
                        </m:f>
                      </m:e>
                    </m:d>
                  </m:oMath>
                </m:oMathPara>
              </a14:m>
              <a:endParaRPr lang="en-GB" sz="1800" b="0"/>
            </a:p>
            <a:p>
              <a:endParaRPr lang="en-US" sz="1800"/>
            </a:p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GB" sz="1800" b="0" i="1">
                        <a:latin typeface="Cambria Math" panose="02040503050406030204" pitchFamily="18" charset="0"/>
                      </a:rPr>
                      <m:t>𝐹𝑉</m:t>
                    </m:r>
                    <m:r>
                      <a:rPr lang="en-GB" sz="1800" b="0" i="1">
                        <a:latin typeface="Cambria Math" panose="02040503050406030204" pitchFamily="18" charset="0"/>
                      </a:rPr>
                      <m:t>−1×</m:t>
                    </m:r>
                    <m:f>
                      <m:fPr>
                        <m:ctrlPr>
                          <a:rPr lang="en-GB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n-GB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360</m:t>
                        </m:r>
                      </m:num>
                      <m:den>
                        <m:r>
                          <a:rPr lang="en-GB" sz="18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7</m:t>
                        </m:r>
                      </m:den>
                    </m:f>
                    <m:r>
                      <a:rPr lang="en-GB" sz="18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n-GB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en-GB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𝑟</m:t>
                        </m:r>
                      </m:e>
                      <m:sub>
                        <m:r>
                          <a:rPr lang="en-GB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1−</m:t>
                        </m:r>
                        <m:r>
                          <a:rPr lang="en-GB" sz="18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𝑤𝑒𝑒𝑘</m:t>
                        </m:r>
                      </m:sub>
                    </m:sSub>
                  </m:oMath>
                </m:oMathPara>
              </a14:m>
              <a:endParaRPr lang="en-US" sz="18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FEDF36A1-02B4-D74A-A4E9-73752A82A399}"/>
                </a:ext>
              </a:extLst>
            </xdr:cNvPr>
            <xdr:cNvSpPr txBox="1"/>
          </xdr:nvSpPr>
          <xdr:spPr>
            <a:xfrm>
              <a:off x="7694886" y="4165805"/>
              <a:ext cx="2663806" cy="1325684"/>
            </a:xfrm>
            <a:prstGeom prst="rect">
              <a:avLst/>
            </a:prstGeom>
            <a:solidFill>
              <a:sysClr val="window" lastClr="FFFFFF"/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n-GB" sz="1800" b="0" i="0">
                  <a:latin typeface="Cambria Math" panose="02040503050406030204" pitchFamily="18" charset="0"/>
                </a:rPr>
                <a:t>𝐹𝑉=(1+𝑟_(1−𝑤𝑒𝑒𝑘)</a:t>
              </a:r>
              <a:r>
                <a:rPr lang="en-GB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×7/360)</a:t>
              </a:r>
              <a:endParaRPr lang="en-GB" sz="1800" b="0"/>
            </a:p>
            <a:p>
              <a:endParaRPr lang="en-US" sz="1800"/>
            </a:p>
            <a:p>
              <a:r>
                <a:rPr lang="en-GB" sz="1800" b="0" i="0">
                  <a:latin typeface="Cambria Math" panose="02040503050406030204" pitchFamily="18" charset="0"/>
                </a:rPr>
                <a:t>𝐹𝑉−1</a:t>
              </a:r>
              <a:r>
                <a:rPr lang="en-GB" sz="18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×360/7=</a:t>
              </a:r>
              <a:r>
                <a:rPr lang="en-GB" sz="1800" b="0" i="0">
                  <a:solidFill>
                    <a:schemeClr val="tx1"/>
                  </a:solidFill>
                  <a:effectLst/>
                  <a:latin typeface="+mn-lt"/>
                  <a:ea typeface="+mn-ea"/>
                  <a:cs typeface="+mn-cs"/>
                </a:rPr>
                <a:t>𝑟_(1−𝑤𝑒𝑒𝑘)</a:t>
              </a:r>
              <a:endParaRPr lang="en-US" sz="18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129884</xdr:colOff>
      <xdr:row>11</xdr:row>
      <xdr:rowOff>48490</xdr:rowOff>
    </xdr:from>
    <xdr:to>
      <xdr:col>11</xdr:col>
      <xdr:colOff>2701636</xdr:colOff>
      <xdr:row>26</xdr:row>
      <xdr:rowOff>86591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7649362-ED02-970F-7D77-E79B1D367B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797656</xdr:colOff>
      <xdr:row>5</xdr:row>
      <xdr:rowOff>169107</xdr:rowOff>
    </xdr:from>
    <xdr:to>
      <xdr:col>11</xdr:col>
      <xdr:colOff>1246909</xdr:colOff>
      <xdr:row>20</xdr:row>
      <xdr:rowOff>121228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CCAAAEA-FDBC-499B-BA0F-6A0D031850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367394</xdr:colOff>
      <xdr:row>15</xdr:row>
      <xdr:rowOff>123585</xdr:rowOff>
    </xdr:from>
    <xdr:to>
      <xdr:col>8</xdr:col>
      <xdr:colOff>2160335</xdr:colOff>
      <xdr:row>27</xdr:row>
      <xdr:rowOff>83243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C548687-12BC-04A1-1EE2-4F26ED24B0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29</xdr:row>
      <xdr:rowOff>176893</xdr:rowOff>
    </xdr:from>
    <xdr:to>
      <xdr:col>6</xdr:col>
      <xdr:colOff>1020535</xdr:colOff>
      <xdr:row>47</xdr:row>
      <xdr:rowOff>312964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E44B0-6858-7159-CF5E-4107E49070A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6969" b="10452"/>
        <a:stretch/>
      </xdr:blipFill>
      <xdr:spPr>
        <a:xfrm>
          <a:off x="1292679" y="10450286"/>
          <a:ext cx="10844892" cy="6449785"/>
        </a:xfrm>
        <a:prstGeom prst="rect">
          <a:avLst/>
        </a:prstGeom>
      </xdr:spPr>
    </xdr:pic>
    <xdr:clientData/>
  </xdr:twoCellAnchor>
  <xdr:twoCellAnchor editAs="oneCell">
    <xdr:from>
      <xdr:col>6</xdr:col>
      <xdr:colOff>1496784</xdr:colOff>
      <xdr:row>29</xdr:row>
      <xdr:rowOff>258536</xdr:rowOff>
    </xdr:from>
    <xdr:to>
      <xdr:col>15</xdr:col>
      <xdr:colOff>214971</xdr:colOff>
      <xdr:row>47</xdr:row>
      <xdr:rowOff>285750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1987B4-7C88-DBB6-5075-388B345666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29730"/>
        <a:stretch/>
      </xdr:blipFill>
      <xdr:spPr>
        <a:xfrm>
          <a:off x="12613820" y="10531929"/>
          <a:ext cx="14053437" cy="634092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882718</xdr:colOff>
      <xdr:row>0</xdr:row>
      <xdr:rowOff>346364</xdr:rowOff>
    </xdr:from>
    <xdr:to>
      <xdr:col>17</xdr:col>
      <xdr:colOff>987136</xdr:colOff>
      <xdr:row>18</xdr:row>
      <xdr:rowOff>69272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0E1669E-48BA-4E6B-A9E8-2668B353BD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830034</xdr:colOff>
      <xdr:row>0</xdr:row>
      <xdr:rowOff>266603</xdr:rowOff>
    </xdr:from>
    <xdr:to>
      <xdr:col>10</xdr:col>
      <xdr:colOff>1102178</xdr:colOff>
      <xdr:row>18</xdr:row>
      <xdr:rowOff>13607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5CA76E-465B-4D82-8B45-B4BBDF8E85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67233</xdr:colOff>
      <xdr:row>0</xdr:row>
      <xdr:rowOff>325704</xdr:rowOff>
    </xdr:from>
    <xdr:to>
      <xdr:col>12</xdr:col>
      <xdr:colOff>11614</xdr:colOff>
      <xdr:row>16</xdr:row>
      <xdr:rowOff>134471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8AC159C-988A-4118-A1CA-D6627569768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2056"/>
        <a:stretch/>
      </xdr:blipFill>
      <xdr:spPr bwMode="auto">
        <a:xfrm>
          <a:off x="9154083" y="325704"/>
          <a:ext cx="9450331" cy="51427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971136</xdr:colOff>
      <xdr:row>17</xdr:row>
      <xdr:rowOff>238124</xdr:rowOff>
    </xdr:from>
    <xdr:to>
      <xdr:col>11</xdr:col>
      <xdr:colOff>1287782</xdr:colOff>
      <xdr:row>30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A0CEDC-F57F-4F3B-8F55-70F0ACF041B2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b="22049"/>
        <a:stretch/>
      </xdr:blipFill>
      <xdr:spPr bwMode="auto">
        <a:xfrm>
          <a:off x="15963486" y="6391274"/>
          <a:ext cx="8089046" cy="4495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923925</xdr:colOff>
      <xdr:row>3</xdr:row>
      <xdr:rowOff>323850</xdr:rowOff>
    </xdr:from>
    <xdr:to>
      <xdr:col>12</xdr:col>
      <xdr:colOff>10967</xdr:colOff>
      <xdr:row>16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1A09B7-BA12-40C4-A4EA-C13D454ADE4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0067"/>
        <a:stretch/>
      </xdr:blipFill>
      <xdr:spPr bwMode="auto">
        <a:xfrm>
          <a:off x="15916275" y="1409700"/>
          <a:ext cx="8154842" cy="444817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client\Documents%20and%20Settings\ngraham2\Local%20Settings\Temporary%20Internet%20Files\Content.Outlook\TCSM8F04\Documents%20and%20Settings\Richard%20Smith\My%20Documents\Career%20and%20Jobs\Statistical%20Arbitrage%20Model%20-%20Old%20%20MOC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client\Documents%20and%20Settings\ngraham2\Local%20Settings\Temporary%20Internet%20Files\Content.Outlook\TCSM8F04\Copy%20of%20Financial%20Products%20Analysis-%20GENERIC%20MASTER%20v9.6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\Career%20and%20Jobs\7City\Excel%20Exercises%20from%20Scratch%20for%20Global%20Grads%20-%20MASTER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Animated%20library\Bonds\Bonds%20-%20index-linked%20Gilt%20example%200.625%202042%20-%202025.xlsx" TargetMode="External"/><Relationship Id="rId1" Type="http://schemas.openxmlformats.org/officeDocument/2006/relationships/externalLinkPath" Target="/Animated%20library/Bonds/Bonds%20-%20index-linked%20Gilt%20example%200.625%202042%20-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tistics"/>
      <sheetName val="MR Strategy Charts"/>
      <sheetName val="MR Strategy Data"/>
      <sheetName val="AR Strategy"/>
      <sheetName val="Regression"/>
      <sheetName val="First Differencing"/>
      <sheetName val="Distributions"/>
      <sheetName val="LN versus Pct Chg"/>
      <sheetName val="Notes"/>
      <sheetName val="Vidyamurthy Strategy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mplate"/>
      <sheetName val="Title"/>
      <sheetName val="Instructions"/>
      <sheetName val="Tutor Notes and Future Develop"/>
      <sheetName val="BB - Curves"/>
      <sheetName val="Curves"/>
      <sheetName val="Interest"/>
      <sheetName val="Fed Funds"/>
      <sheetName val="TVM"/>
      <sheetName val="BB - Bills and Bonds"/>
      <sheetName val="T-Bills"/>
      <sheetName val="BB - FX"/>
      <sheetName val="FX - Carry"/>
      <sheetName val="FX"/>
      <sheetName val="BB - Equities"/>
      <sheetName val="Equities"/>
      <sheetName val="Accounting 1"/>
      <sheetName val="Accounting 2"/>
      <sheetName val="BB - Equity Valulation"/>
      <sheetName val="Equity Valuation"/>
      <sheetName val="Fixed Income"/>
      <sheetName val="Duration and Convexity"/>
      <sheetName val="BB - Boeing Bond"/>
      <sheetName val="Boeing Bond"/>
      <sheetName val="Daycount"/>
      <sheetName val="FRN"/>
      <sheetName val="Fixed Income Strategy"/>
      <sheetName val="BB - Repo"/>
      <sheetName val="Repo"/>
      <sheetName val="Mortgage"/>
      <sheetName val="BB - MBS"/>
      <sheetName val="MBS"/>
      <sheetName val="BB - CDS"/>
      <sheetName val="CDS"/>
      <sheetName val="BB - CDO"/>
      <sheetName val="CDO"/>
      <sheetName val="FRA"/>
      <sheetName val="BB - Eurodollar"/>
      <sheetName val="Eurodollar"/>
      <sheetName val="BB - IRS"/>
      <sheetName val="IRS"/>
      <sheetName val="Interpolation"/>
      <sheetName val="Curr Swap"/>
      <sheetName val="Bond Forward"/>
      <sheetName val="BB - T-Bond Futures"/>
      <sheetName val="T-Bond Futures"/>
      <sheetName val="Regression and Correlation"/>
      <sheetName val="Portfolio Optimiser"/>
      <sheetName val="Portfolio Deriv Hedge"/>
      <sheetName val="Distributions"/>
      <sheetName val="BB - Volatility"/>
      <sheetName val="Volatility"/>
      <sheetName val="BOPM"/>
      <sheetName val="BSM"/>
      <sheetName val="Strategies"/>
      <sheetName val="Greek Graphs"/>
      <sheetName val="Time Decay"/>
      <sheetName val="Volatility Trading"/>
      <sheetName val="Economics"/>
      <sheetName val="Economic Stats"/>
      <sheetName val="Structured Products"/>
      <sheetName val="Hedge Funds"/>
      <sheetName val="Netting"/>
      <sheetName val="Conversion Factors"/>
      <sheetName val="Security Database"/>
      <sheetName val="Auction &amp; Delivery Schedule"/>
    </sheetNames>
    <sheetDataSet>
      <sheetData sheetId="0"/>
      <sheetData sheetId="1"/>
      <sheetData sheetId="2" refreshError="1"/>
      <sheetData sheetId="3"/>
      <sheetData sheetId="4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/>
      <sheetData sheetId="49"/>
      <sheetData sheetId="50"/>
      <sheetData sheetId="51" refreshError="1"/>
      <sheetData sheetId="52"/>
      <sheetData sheetId="53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proach"/>
      <sheetName val="TVM"/>
      <sheetName val="Stats"/>
      <sheetName val="Interest Rate Types"/>
      <sheetName val="MM Returns"/>
      <sheetName val="MM Roll P+I"/>
      <sheetName val="Business Days"/>
      <sheetName val="T-Bills"/>
      <sheetName val="Term Structure"/>
      <sheetName val="Zero curve Semi"/>
      <sheetName val="IRS PV01 and DV01"/>
      <sheetName val="IRS"/>
      <sheetName val="Sonia OIS"/>
      <sheetName val="Eonia OIS"/>
      <sheetName val="FRA"/>
      <sheetName val="FX"/>
      <sheetName val="Yields"/>
      <sheetName val="Bond Risk - Long Version"/>
      <sheetName val="Bond Risk - Short"/>
      <sheetName val="Bond Returns Analysis"/>
      <sheetName val="Linker"/>
      <sheetName val="2s10s Curve Trade"/>
      <sheetName val="FRN"/>
      <sheetName val="Convertible"/>
      <sheetName val="Z Spread"/>
      <sheetName val="CDS "/>
      <sheetName val="CDS Pricing - Annual"/>
      <sheetName val="Equity Indicies"/>
      <sheetName val="Top 3"/>
      <sheetName val="Futures"/>
      <sheetName val="Equity Index Futures"/>
      <sheetName val="S&amp;P Futures Hedge"/>
      <sheetName val="Futures and Options Hedge"/>
      <sheetName val="Fair Value Conventions"/>
      <sheetName val="Futures Ratio versus Spread"/>
      <sheetName val="Options"/>
      <sheetName val="BOPM - 2 Step "/>
      <sheetName val="Black-76"/>
      <sheetName val="Premium Predict"/>
      <sheetName val="Greek Positions"/>
      <sheetName val="PnL Explain - Equity"/>
      <sheetName val="Volatility"/>
      <sheetName val="Volatility Strategies"/>
      <sheetName val="SP"/>
      <sheetName val="VaR"/>
      <sheetName val="BEY as Convention"/>
      <sheetName val="IRS and Basis"/>
      <sheetName val="Currency Swap Comparative"/>
      <sheetName val="Variance Swap"/>
      <sheetName val="Hedge Fund Perf"/>
      <sheetName val="Collared FRN"/>
      <sheetName val="Pricing Credit Bonds"/>
      <sheetName val="Reinvestment Ris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alue bond w real YTM"/>
      <sheetName val="Determine Infl adj val"/>
      <sheetName val="RPI data"/>
    </sheetNames>
    <sheetDataSet>
      <sheetData sheetId="0"/>
      <sheetData sheetId="1"/>
      <sheetData sheetId="2">
        <row r="9">
          <cell r="G9" t="str">
            <v>1987 JAN</v>
          </cell>
          <cell r="H9">
            <v>100</v>
          </cell>
        </row>
        <row r="10">
          <cell r="G10" t="str">
            <v>1987 FEB</v>
          </cell>
          <cell r="H10">
            <v>100.4</v>
          </cell>
        </row>
        <row r="11">
          <cell r="G11" t="str">
            <v>1987 MAR</v>
          </cell>
          <cell r="H11">
            <v>100.6</v>
          </cell>
        </row>
        <row r="12">
          <cell r="G12" t="str">
            <v>1987 APR</v>
          </cell>
          <cell r="H12">
            <v>101.8</v>
          </cell>
        </row>
        <row r="13">
          <cell r="G13" t="str">
            <v>1987 MAY</v>
          </cell>
          <cell r="H13">
            <v>101.9</v>
          </cell>
        </row>
        <row r="14">
          <cell r="G14" t="str">
            <v>1987 JUN</v>
          </cell>
          <cell r="H14">
            <v>101.9</v>
          </cell>
        </row>
        <row r="15">
          <cell r="G15" t="str">
            <v>1987 JUL</v>
          </cell>
          <cell r="H15">
            <v>101.8</v>
          </cell>
        </row>
        <row r="16">
          <cell r="G16" t="str">
            <v>1987 AUG</v>
          </cell>
          <cell r="H16">
            <v>102.1</v>
          </cell>
        </row>
        <row r="17">
          <cell r="G17" t="str">
            <v>1987 SEP</v>
          </cell>
          <cell r="H17">
            <v>102.4</v>
          </cell>
        </row>
        <row r="18">
          <cell r="G18" t="str">
            <v>1987 OCT</v>
          </cell>
          <cell r="H18">
            <v>102.9</v>
          </cell>
        </row>
        <row r="19">
          <cell r="G19" t="str">
            <v>1987 NOV</v>
          </cell>
          <cell r="H19">
            <v>103.4</v>
          </cell>
        </row>
        <row r="20">
          <cell r="G20" t="str">
            <v>1987 DEC</v>
          </cell>
          <cell r="H20">
            <v>103.3</v>
          </cell>
        </row>
        <row r="21">
          <cell r="G21" t="str">
            <v>1988 JAN</v>
          </cell>
          <cell r="H21">
            <v>103.3</v>
          </cell>
        </row>
        <row r="22">
          <cell r="G22" t="str">
            <v>1988 FEB</v>
          </cell>
          <cell r="H22">
            <v>103.7</v>
          </cell>
        </row>
        <row r="23">
          <cell r="G23" t="str">
            <v>1988 MAR</v>
          </cell>
          <cell r="H23">
            <v>104.1</v>
          </cell>
        </row>
        <row r="24">
          <cell r="G24" t="str">
            <v>1988 APR</v>
          </cell>
          <cell r="H24">
            <v>105.8</v>
          </cell>
        </row>
        <row r="25">
          <cell r="G25" t="str">
            <v>1988 MAY</v>
          </cell>
          <cell r="H25">
            <v>106.2</v>
          </cell>
        </row>
        <row r="26">
          <cell r="G26" t="str">
            <v>1988 JUN</v>
          </cell>
          <cell r="H26">
            <v>106.6</v>
          </cell>
        </row>
        <row r="27">
          <cell r="G27" t="str">
            <v>1988 JUL</v>
          </cell>
          <cell r="H27">
            <v>106.7</v>
          </cell>
        </row>
        <row r="28">
          <cell r="G28" t="str">
            <v>1988 AUG</v>
          </cell>
          <cell r="H28">
            <v>107.9</v>
          </cell>
        </row>
        <row r="29">
          <cell r="G29" t="str">
            <v>1988 SEP</v>
          </cell>
          <cell r="H29">
            <v>108.4</v>
          </cell>
        </row>
        <row r="30">
          <cell r="G30" t="str">
            <v>1988 OCT</v>
          </cell>
          <cell r="H30">
            <v>109.5</v>
          </cell>
        </row>
        <row r="31">
          <cell r="G31" t="str">
            <v>1988 NOV</v>
          </cell>
          <cell r="H31">
            <v>110</v>
          </cell>
        </row>
        <row r="32">
          <cell r="G32" t="str">
            <v>1988 DEC</v>
          </cell>
          <cell r="H32">
            <v>110.3</v>
          </cell>
        </row>
        <row r="33">
          <cell r="G33" t="str">
            <v>1989 JAN</v>
          </cell>
          <cell r="H33">
            <v>111</v>
          </cell>
        </row>
        <row r="34">
          <cell r="G34" t="str">
            <v>1989 FEB</v>
          </cell>
          <cell r="H34">
            <v>111.8</v>
          </cell>
        </row>
        <row r="35">
          <cell r="G35" t="str">
            <v>1989 MAR</v>
          </cell>
          <cell r="H35">
            <v>112.3</v>
          </cell>
        </row>
        <row r="36">
          <cell r="G36" t="str">
            <v>1989 APR</v>
          </cell>
          <cell r="H36">
            <v>114.3</v>
          </cell>
        </row>
        <row r="37">
          <cell r="G37" t="str">
            <v>1989 MAY</v>
          </cell>
          <cell r="H37">
            <v>115</v>
          </cell>
        </row>
        <row r="38">
          <cell r="G38" t="str">
            <v>1989 JUN</v>
          </cell>
          <cell r="H38">
            <v>115.4</v>
          </cell>
        </row>
        <row r="39">
          <cell r="G39" t="str">
            <v>1989 JUL</v>
          </cell>
          <cell r="H39">
            <v>115.5</v>
          </cell>
        </row>
        <row r="40">
          <cell r="G40" t="str">
            <v>1989 AUG</v>
          </cell>
          <cell r="H40">
            <v>115.8</v>
          </cell>
        </row>
        <row r="41">
          <cell r="G41" t="str">
            <v>1989 SEP</v>
          </cell>
          <cell r="H41">
            <v>116.6</v>
          </cell>
        </row>
        <row r="42">
          <cell r="G42" t="str">
            <v>1989 OCT</v>
          </cell>
          <cell r="H42">
            <v>117.5</v>
          </cell>
        </row>
        <row r="43">
          <cell r="G43" t="str">
            <v>1989 NOV</v>
          </cell>
          <cell r="H43">
            <v>118.5</v>
          </cell>
        </row>
        <row r="44">
          <cell r="G44" t="str">
            <v>1989 DEC</v>
          </cell>
          <cell r="H44">
            <v>118.8</v>
          </cell>
        </row>
        <row r="45">
          <cell r="G45" t="str">
            <v>1990 JAN</v>
          </cell>
          <cell r="H45">
            <v>119.5</v>
          </cell>
        </row>
        <row r="46">
          <cell r="G46" t="str">
            <v>1990 FEB</v>
          </cell>
          <cell r="H46">
            <v>120.2</v>
          </cell>
        </row>
        <row r="47">
          <cell r="G47" t="str">
            <v>1990 MAR</v>
          </cell>
          <cell r="H47">
            <v>121.4</v>
          </cell>
        </row>
        <row r="48">
          <cell r="G48" t="str">
            <v>1990 APR</v>
          </cell>
          <cell r="H48">
            <v>125.1</v>
          </cell>
        </row>
        <row r="49">
          <cell r="G49" t="str">
            <v>1990 MAY</v>
          </cell>
          <cell r="H49">
            <v>126.2</v>
          </cell>
        </row>
        <row r="50">
          <cell r="G50" t="str">
            <v>1990 JUN</v>
          </cell>
          <cell r="H50">
            <v>126.7</v>
          </cell>
        </row>
        <row r="51">
          <cell r="G51" t="str">
            <v>1990 JUL</v>
          </cell>
          <cell r="H51">
            <v>126.8</v>
          </cell>
        </row>
        <row r="52">
          <cell r="G52" t="str">
            <v>1990 AUG</v>
          </cell>
          <cell r="H52">
            <v>128.1</v>
          </cell>
        </row>
        <row r="53">
          <cell r="G53" t="str">
            <v>1990 SEP</v>
          </cell>
          <cell r="H53">
            <v>129.30000000000001</v>
          </cell>
        </row>
        <row r="54">
          <cell r="G54" t="str">
            <v>1990 OCT</v>
          </cell>
          <cell r="H54">
            <v>130.30000000000001</v>
          </cell>
        </row>
        <row r="55">
          <cell r="G55" t="str">
            <v>1990 NOV</v>
          </cell>
          <cell r="H55">
            <v>130</v>
          </cell>
        </row>
        <row r="56">
          <cell r="G56" t="str">
            <v>1990 DEC</v>
          </cell>
          <cell r="H56">
            <v>129.9</v>
          </cell>
        </row>
        <row r="57">
          <cell r="G57" t="str">
            <v>1991 JAN</v>
          </cell>
          <cell r="H57">
            <v>130.19999999999999</v>
          </cell>
        </row>
        <row r="58">
          <cell r="G58" t="str">
            <v>1991 FEB</v>
          </cell>
          <cell r="H58">
            <v>130.9</v>
          </cell>
        </row>
        <row r="59">
          <cell r="G59" t="str">
            <v>1991 MAR</v>
          </cell>
          <cell r="H59">
            <v>131.4</v>
          </cell>
        </row>
        <row r="60">
          <cell r="G60" t="str">
            <v>1991 APR</v>
          </cell>
          <cell r="H60">
            <v>133.1</v>
          </cell>
        </row>
        <row r="61">
          <cell r="G61" t="str">
            <v>1991 MAY</v>
          </cell>
          <cell r="H61">
            <v>133.5</v>
          </cell>
        </row>
        <row r="62">
          <cell r="G62" t="str">
            <v>1991 JUN</v>
          </cell>
          <cell r="H62">
            <v>134.1</v>
          </cell>
        </row>
        <row r="63">
          <cell r="G63" t="str">
            <v>1991 JUL</v>
          </cell>
          <cell r="H63">
            <v>133.80000000000001</v>
          </cell>
        </row>
        <row r="64">
          <cell r="G64" t="str">
            <v>1991 AUG</v>
          </cell>
          <cell r="H64">
            <v>134.1</v>
          </cell>
        </row>
        <row r="65">
          <cell r="G65" t="str">
            <v>1991 SEP</v>
          </cell>
          <cell r="H65">
            <v>134.6</v>
          </cell>
        </row>
        <row r="66">
          <cell r="G66" t="str">
            <v>1991 OCT</v>
          </cell>
          <cell r="H66">
            <v>135.1</v>
          </cell>
        </row>
        <row r="67">
          <cell r="G67" t="str">
            <v>1991 NOV</v>
          </cell>
          <cell r="H67">
            <v>135.6</v>
          </cell>
        </row>
        <row r="68">
          <cell r="G68" t="str">
            <v>1991 DEC</v>
          </cell>
          <cell r="H68">
            <v>135.69999999999999</v>
          </cell>
        </row>
        <row r="69">
          <cell r="G69" t="str">
            <v>1992 JAN</v>
          </cell>
          <cell r="H69">
            <v>135.6</v>
          </cell>
        </row>
        <row r="70">
          <cell r="G70" t="str">
            <v>1992 FEB</v>
          </cell>
          <cell r="H70">
            <v>136.30000000000001</v>
          </cell>
        </row>
        <row r="71">
          <cell r="G71" t="str">
            <v>1992 MAR</v>
          </cell>
          <cell r="H71">
            <v>136.69999999999999</v>
          </cell>
        </row>
        <row r="72">
          <cell r="G72" t="str">
            <v>1992 APR</v>
          </cell>
          <cell r="H72">
            <v>138.80000000000001</v>
          </cell>
        </row>
        <row r="73">
          <cell r="G73" t="str">
            <v>1992 MAY</v>
          </cell>
          <cell r="H73">
            <v>139.30000000000001</v>
          </cell>
        </row>
        <row r="74">
          <cell r="G74" t="str">
            <v>1992 JUN</v>
          </cell>
          <cell r="H74">
            <v>139.30000000000001</v>
          </cell>
        </row>
        <row r="75">
          <cell r="G75" t="str">
            <v>1992 JUL</v>
          </cell>
          <cell r="H75">
            <v>138.80000000000001</v>
          </cell>
        </row>
        <row r="76">
          <cell r="G76" t="str">
            <v>1992 AUG</v>
          </cell>
          <cell r="H76">
            <v>138.9</v>
          </cell>
        </row>
        <row r="77">
          <cell r="G77" t="str">
            <v>1992 SEP</v>
          </cell>
          <cell r="H77">
            <v>139.4</v>
          </cell>
        </row>
        <row r="78">
          <cell r="G78" t="str">
            <v>1992 OCT</v>
          </cell>
          <cell r="H78">
            <v>139.9</v>
          </cell>
        </row>
        <row r="79">
          <cell r="G79" t="str">
            <v>1992 NOV</v>
          </cell>
          <cell r="H79">
            <v>139.69999999999999</v>
          </cell>
        </row>
        <row r="80">
          <cell r="G80" t="str">
            <v>1992 DEC</v>
          </cell>
          <cell r="H80">
            <v>139.19999999999999</v>
          </cell>
        </row>
        <row r="81">
          <cell r="G81" t="str">
            <v>1993 JAN</v>
          </cell>
          <cell r="H81">
            <v>137.9</v>
          </cell>
        </row>
        <row r="82">
          <cell r="G82" t="str">
            <v>1993 FEB</v>
          </cell>
          <cell r="H82">
            <v>138.80000000000001</v>
          </cell>
        </row>
        <row r="83">
          <cell r="G83" t="str">
            <v>1993 MAR</v>
          </cell>
          <cell r="H83">
            <v>139.30000000000001</v>
          </cell>
        </row>
        <row r="84">
          <cell r="G84" t="str">
            <v>1993 APR</v>
          </cell>
          <cell r="H84">
            <v>140.6</v>
          </cell>
        </row>
        <row r="85">
          <cell r="G85" t="str">
            <v>1993 MAY</v>
          </cell>
          <cell r="H85">
            <v>141.1</v>
          </cell>
        </row>
        <row r="86">
          <cell r="G86" t="str">
            <v>1993 JUN</v>
          </cell>
          <cell r="H86">
            <v>141</v>
          </cell>
        </row>
        <row r="87">
          <cell r="G87" t="str">
            <v>1993 JUL</v>
          </cell>
          <cell r="H87">
            <v>140.69999999999999</v>
          </cell>
        </row>
        <row r="88">
          <cell r="G88" t="str">
            <v>1993 AUG</v>
          </cell>
          <cell r="H88">
            <v>141.30000000000001</v>
          </cell>
        </row>
        <row r="89">
          <cell r="G89" t="str">
            <v>1993 SEP</v>
          </cell>
          <cell r="H89">
            <v>141.9</v>
          </cell>
        </row>
        <row r="90">
          <cell r="G90" t="str">
            <v>1993 OCT</v>
          </cell>
          <cell r="H90">
            <v>141.80000000000001</v>
          </cell>
        </row>
        <row r="91">
          <cell r="G91" t="str">
            <v>1993 NOV</v>
          </cell>
          <cell r="H91">
            <v>141.6</v>
          </cell>
        </row>
        <row r="92">
          <cell r="G92" t="str">
            <v>1993 DEC</v>
          </cell>
          <cell r="H92">
            <v>141.9</v>
          </cell>
        </row>
        <row r="93">
          <cell r="G93" t="str">
            <v>1994 JAN</v>
          </cell>
          <cell r="H93">
            <v>141.30000000000001</v>
          </cell>
        </row>
        <row r="94">
          <cell r="G94" t="str">
            <v>1994 FEB</v>
          </cell>
          <cell r="H94">
            <v>142.1</v>
          </cell>
        </row>
        <row r="95">
          <cell r="G95" t="str">
            <v>1994 MAR</v>
          </cell>
          <cell r="H95">
            <v>142.5</v>
          </cell>
        </row>
        <row r="96">
          <cell r="G96" t="str">
            <v>1994 APR</v>
          </cell>
          <cell r="H96">
            <v>144.19999999999999</v>
          </cell>
        </row>
        <row r="97">
          <cell r="G97" t="str">
            <v>1994 MAY</v>
          </cell>
          <cell r="H97">
            <v>144.69999999999999</v>
          </cell>
        </row>
        <row r="98">
          <cell r="G98" t="str">
            <v>1994 JUN</v>
          </cell>
          <cell r="H98">
            <v>144.69999999999999</v>
          </cell>
        </row>
        <row r="99">
          <cell r="G99" t="str">
            <v>1994 JUL</v>
          </cell>
          <cell r="H99">
            <v>144</v>
          </cell>
        </row>
        <row r="100">
          <cell r="G100" t="str">
            <v>1994 AUG</v>
          </cell>
          <cell r="H100">
            <v>144.69999999999999</v>
          </cell>
        </row>
        <row r="101">
          <cell r="G101" t="str">
            <v>1994 SEP</v>
          </cell>
          <cell r="H101">
            <v>145</v>
          </cell>
        </row>
        <row r="102">
          <cell r="G102" t="str">
            <v>1994 OCT</v>
          </cell>
          <cell r="H102">
            <v>145.19999999999999</v>
          </cell>
        </row>
        <row r="103">
          <cell r="G103" t="str">
            <v>1994 NOV</v>
          </cell>
          <cell r="H103">
            <v>145.30000000000001</v>
          </cell>
        </row>
        <row r="104">
          <cell r="G104" t="str">
            <v>1994 DEC</v>
          </cell>
          <cell r="H104">
            <v>146</v>
          </cell>
        </row>
        <row r="105">
          <cell r="G105" t="str">
            <v>1995 JAN</v>
          </cell>
          <cell r="H105">
            <v>146</v>
          </cell>
        </row>
        <row r="106">
          <cell r="G106" t="str">
            <v>1995 FEB</v>
          </cell>
          <cell r="H106">
            <v>146.9</v>
          </cell>
        </row>
        <row r="107">
          <cell r="G107" t="str">
            <v>1995 MAR</v>
          </cell>
          <cell r="H107">
            <v>147.5</v>
          </cell>
        </row>
        <row r="108">
          <cell r="G108" t="str">
            <v>1995 APR</v>
          </cell>
          <cell r="H108">
            <v>149</v>
          </cell>
        </row>
        <row r="109">
          <cell r="G109" t="str">
            <v>1995 MAY</v>
          </cell>
          <cell r="H109">
            <v>149.6</v>
          </cell>
        </row>
        <row r="110">
          <cell r="G110" t="str">
            <v>1995 JUN</v>
          </cell>
          <cell r="H110">
            <v>149.80000000000001</v>
          </cell>
        </row>
        <row r="111">
          <cell r="G111" t="str">
            <v>1995 JUL</v>
          </cell>
          <cell r="H111">
            <v>149.1</v>
          </cell>
        </row>
        <row r="112">
          <cell r="G112" t="str">
            <v>1995 AUG</v>
          </cell>
          <cell r="H112">
            <v>149.9</v>
          </cell>
        </row>
        <row r="113">
          <cell r="G113" t="str">
            <v>1995 SEP</v>
          </cell>
          <cell r="H113">
            <v>150.6</v>
          </cell>
        </row>
        <row r="114">
          <cell r="G114" t="str">
            <v>1995 OCT</v>
          </cell>
          <cell r="H114">
            <v>149.80000000000001</v>
          </cell>
        </row>
        <row r="115">
          <cell r="G115" t="str">
            <v>1995 NOV</v>
          </cell>
          <cell r="H115">
            <v>149.80000000000001</v>
          </cell>
        </row>
        <row r="116">
          <cell r="G116" t="str">
            <v>1995 DEC</v>
          </cell>
          <cell r="H116">
            <v>150.69999999999999</v>
          </cell>
        </row>
        <row r="117">
          <cell r="G117" t="str">
            <v>1996 JAN</v>
          </cell>
          <cell r="H117">
            <v>150.19999999999999</v>
          </cell>
        </row>
        <row r="118">
          <cell r="G118" t="str">
            <v>1996 FEB</v>
          </cell>
          <cell r="H118">
            <v>150.9</v>
          </cell>
        </row>
        <row r="119">
          <cell r="G119" t="str">
            <v>1996 MAR</v>
          </cell>
          <cell r="H119">
            <v>151.5</v>
          </cell>
        </row>
        <row r="120">
          <cell r="G120" t="str">
            <v>1996 APR</v>
          </cell>
          <cell r="H120">
            <v>152.6</v>
          </cell>
        </row>
        <row r="121">
          <cell r="G121" t="str">
            <v>1996 MAY</v>
          </cell>
          <cell r="H121">
            <v>152.9</v>
          </cell>
        </row>
        <row r="122">
          <cell r="G122" t="str">
            <v>1996 JUN</v>
          </cell>
          <cell r="H122">
            <v>153</v>
          </cell>
        </row>
        <row r="123">
          <cell r="G123" t="str">
            <v>1996 JUL</v>
          </cell>
          <cell r="H123">
            <v>152.4</v>
          </cell>
        </row>
        <row r="124">
          <cell r="G124" t="str">
            <v>1996 AUG</v>
          </cell>
          <cell r="H124">
            <v>153.1</v>
          </cell>
        </row>
        <row r="125">
          <cell r="G125" t="str">
            <v>1996 SEP</v>
          </cell>
          <cell r="H125">
            <v>153.80000000000001</v>
          </cell>
        </row>
        <row r="126">
          <cell r="G126" t="str">
            <v>1996 OCT</v>
          </cell>
          <cell r="H126">
            <v>153.80000000000001</v>
          </cell>
        </row>
        <row r="127">
          <cell r="G127" t="str">
            <v>1996 NOV</v>
          </cell>
          <cell r="H127">
            <v>153.9</v>
          </cell>
        </row>
        <row r="128">
          <cell r="G128" t="str">
            <v>1996 DEC</v>
          </cell>
          <cell r="H128">
            <v>154.4</v>
          </cell>
        </row>
        <row r="129">
          <cell r="G129" t="str">
            <v>1997 JAN</v>
          </cell>
          <cell r="H129">
            <v>154.4</v>
          </cell>
        </row>
        <row r="130">
          <cell r="G130" t="str">
            <v>1997 FEB</v>
          </cell>
          <cell r="H130">
            <v>155</v>
          </cell>
        </row>
        <row r="131">
          <cell r="G131" t="str">
            <v>1997 MAR</v>
          </cell>
          <cell r="H131">
            <v>155.4</v>
          </cell>
        </row>
        <row r="132">
          <cell r="G132" t="str">
            <v>1997 APR</v>
          </cell>
          <cell r="H132">
            <v>156.30000000000001</v>
          </cell>
        </row>
        <row r="133">
          <cell r="G133" t="str">
            <v>1997 MAY</v>
          </cell>
          <cell r="H133">
            <v>156.9</v>
          </cell>
        </row>
        <row r="134">
          <cell r="G134" t="str">
            <v>1997 JUN</v>
          </cell>
          <cell r="H134">
            <v>157.5</v>
          </cell>
        </row>
        <row r="135">
          <cell r="G135" t="str">
            <v>1997 JUL</v>
          </cell>
          <cell r="H135">
            <v>157.5</v>
          </cell>
        </row>
        <row r="136">
          <cell r="G136" t="str">
            <v>1997 AUG</v>
          </cell>
          <cell r="H136">
            <v>158.5</v>
          </cell>
        </row>
        <row r="137">
          <cell r="G137" t="str">
            <v>1997 SEP</v>
          </cell>
          <cell r="H137">
            <v>159.30000000000001</v>
          </cell>
        </row>
        <row r="138">
          <cell r="G138" t="str">
            <v>1997 OCT</v>
          </cell>
          <cell r="H138">
            <v>159.5</v>
          </cell>
        </row>
        <row r="139">
          <cell r="G139" t="str">
            <v>1997 NOV</v>
          </cell>
          <cell r="H139">
            <v>159.6</v>
          </cell>
        </row>
        <row r="140">
          <cell r="G140" t="str">
            <v>1997 DEC</v>
          </cell>
          <cell r="H140">
            <v>160</v>
          </cell>
        </row>
        <row r="141">
          <cell r="G141" t="str">
            <v>1998 JAN</v>
          </cell>
          <cell r="H141">
            <v>159.5</v>
          </cell>
        </row>
        <row r="142">
          <cell r="G142" t="str">
            <v>1998 FEB</v>
          </cell>
          <cell r="H142">
            <v>160.30000000000001</v>
          </cell>
        </row>
        <row r="143">
          <cell r="G143" t="str">
            <v>1998 MAR</v>
          </cell>
          <cell r="H143">
            <v>160.80000000000001</v>
          </cell>
        </row>
        <row r="144">
          <cell r="G144" t="str">
            <v>1998 APR</v>
          </cell>
          <cell r="H144">
            <v>162.6</v>
          </cell>
        </row>
        <row r="145">
          <cell r="G145" t="str">
            <v>1998 MAY</v>
          </cell>
          <cell r="H145">
            <v>163.5</v>
          </cell>
        </row>
        <row r="146">
          <cell r="G146" t="str">
            <v>1998 JUN</v>
          </cell>
          <cell r="H146">
            <v>163.4</v>
          </cell>
        </row>
        <row r="147">
          <cell r="G147" t="str">
            <v>1998 JUL</v>
          </cell>
          <cell r="H147">
            <v>163</v>
          </cell>
        </row>
        <row r="148">
          <cell r="G148" t="str">
            <v>1998 AUG</v>
          </cell>
          <cell r="H148">
            <v>163.69999999999999</v>
          </cell>
        </row>
        <row r="149">
          <cell r="G149" t="str">
            <v>1998 SEP</v>
          </cell>
          <cell r="H149">
            <v>164.4</v>
          </cell>
        </row>
        <row r="150">
          <cell r="G150" t="str">
            <v>1998 OCT</v>
          </cell>
          <cell r="H150">
            <v>164.5</v>
          </cell>
        </row>
        <row r="151">
          <cell r="G151" t="str">
            <v>1998 NOV</v>
          </cell>
          <cell r="H151">
            <v>164.4</v>
          </cell>
        </row>
        <row r="152">
          <cell r="G152" t="str">
            <v>1998 DEC</v>
          </cell>
          <cell r="H152">
            <v>164.4</v>
          </cell>
        </row>
        <row r="153">
          <cell r="G153" t="str">
            <v>1999 JAN</v>
          </cell>
          <cell r="H153">
            <v>163.4</v>
          </cell>
        </row>
        <row r="154">
          <cell r="G154" t="str">
            <v>1999 FEB</v>
          </cell>
          <cell r="H154">
            <v>163.69999999999999</v>
          </cell>
        </row>
        <row r="155">
          <cell r="G155" t="str">
            <v>1999 MAR</v>
          </cell>
          <cell r="H155">
            <v>164.1</v>
          </cell>
        </row>
        <row r="156">
          <cell r="G156" t="str">
            <v>1999 APR</v>
          </cell>
          <cell r="H156">
            <v>165.2</v>
          </cell>
        </row>
        <row r="157">
          <cell r="G157" t="str">
            <v>1999 MAY</v>
          </cell>
          <cell r="H157">
            <v>165.6</v>
          </cell>
        </row>
        <row r="158">
          <cell r="G158" t="str">
            <v>1999 JUN</v>
          </cell>
          <cell r="H158">
            <v>165.6</v>
          </cell>
        </row>
        <row r="159">
          <cell r="G159" t="str">
            <v>1999 JUL</v>
          </cell>
          <cell r="H159">
            <v>165.1</v>
          </cell>
        </row>
        <row r="160">
          <cell r="G160" t="str">
            <v>1999 AUG</v>
          </cell>
          <cell r="H160">
            <v>165.5</v>
          </cell>
        </row>
        <row r="161">
          <cell r="G161" t="str">
            <v>1999 SEP</v>
          </cell>
          <cell r="H161">
            <v>166.2</v>
          </cell>
        </row>
        <row r="162">
          <cell r="G162" t="str">
            <v>1999 OCT</v>
          </cell>
          <cell r="H162">
            <v>166.5</v>
          </cell>
        </row>
        <row r="163">
          <cell r="G163" t="str">
            <v>1999 NOV</v>
          </cell>
          <cell r="H163">
            <v>166.7</v>
          </cell>
        </row>
        <row r="164">
          <cell r="G164" t="str">
            <v>1999 DEC</v>
          </cell>
          <cell r="H164">
            <v>167.3</v>
          </cell>
        </row>
        <row r="165">
          <cell r="G165" t="str">
            <v>2000 JAN</v>
          </cell>
          <cell r="H165">
            <v>166.6</v>
          </cell>
        </row>
        <row r="166">
          <cell r="G166" t="str">
            <v>2000 FEB</v>
          </cell>
          <cell r="H166">
            <v>167.5</v>
          </cell>
        </row>
        <row r="167">
          <cell r="G167" t="str">
            <v>2000 MAR</v>
          </cell>
          <cell r="H167">
            <v>168.4</v>
          </cell>
        </row>
        <row r="168">
          <cell r="G168" t="str">
            <v>2000 APR</v>
          </cell>
          <cell r="H168">
            <v>170.1</v>
          </cell>
        </row>
        <row r="169">
          <cell r="G169" t="str">
            <v>2000 MAY</v>
          </cell>
          <cell r="H169">
            <v>170.7</v>
          </cell>
        </row>
        <row r="170">
          <cell r="G170" t="str">
            <v>2000 JUN</v>
          </cell>
          <cell r="H170">
            <v>171.1</v>
          </cell>
        </row>
        <row r="171">
          <cell r="G171" t="str">
            <v>2000 JUL</v>
          </cell>
          <cell r="H171">
            <v>170.5</v>
          </cell>
        </row>
        <row r="172">
          <cell r="G172" t="str">
            <v>2000 AUG</v>
          </cell>
          <cell r="H172">
            <v>170.5</v>
          </cell>
        </row>
        <row r="173">
          <cell r="G173" t="str">
            <v>2000 SEP</v>
          </cell>
          <cell r="H173">
            <v>171.7</v>
          </cell>
        </row>
        <row r="174">
          <cell r="G174" t="str">
            <v>2000 OCT</v>
          </cell>
          <cell r="H174">
            <v>171.6</v>
          </cell>
        </row>
        <row r="175">
          <cell r="G175" t="str">
            <v>2000 NOV</v>
          </cell>
          <cell r="H175">
            <v>172.1</v>
          </cell>
        </row>
        <row r="176">
          <cell r="G176" t="str">
            <v>2000 DEC</v>
          </cell>
          <cell r="H176">
            <v>172.2</v>
          </cell>
        </row>
        <row r="177">
          <cell r="G177" t="str">
            <v>2001 JAN</v>
          </cell>
          <cell r="H177">
            <v>171.1</v>
          </cell>
        </row>
        <row r="178">
          <cell r="G178" t="str">
            <v>2001 FEB</v>
          </cell>
          <cell r="H178">
            <v>172</v>
          </cell>
        </row>
        <row r="179">
          <cell r="G179" t="str">
            <v>2001 MAR</v>
          </cell>
          <cell r="H179">
            <v>172.2</v>
          </cell>
        </row>
        <row r="180">
          <cell r="G180" t="str">
            <v>2001 APR</v>
          </cell>
          <cell r="H180">
            <v>173.1</v>
          </cell>
        </row>
        <row r="181">
          <cell r="G181" t="str">
            <v>2001 MAY</v>
          </cell>
          <cell r="H181">
            <v>174.2</v>
          </cell>
        </row>
        <row r="182">
          <cell r="G182" t="str">
            <v>2001 JUN</v>
          </cell>
          <cell r="H182">
            <v>174.4</v>
          </cell>
        </row>
        <row r="183">
          <cell r="G183" t="str">
            <v>2001 JUL</v>
          </cell>
          <cell r="H183">
            <v>173.3</v>
          </cell>
        </row>
        <row r="184">
          <cell r="G184" t="str">
            <v>2001 AUG</v>
          </cell>
          <cell r="H184">
            <v>174</v>
          </cell>
        </row>
        <row r="185">
          <cell r="G185" t="str">
            <v>2001 SEP</v>
          </cell>
          <cell r="H185">
            <v>174.6</v>
          </cell>
        </row>
        <row r="186">
          <cell r="G186" t="str">
            <v>2001 OCT</v>
          </cell>
          <cell r="H186">
            <v>174.3</v>
          </cell>
        </row>
        <row r="187">
          <cell r="G187" t="str">
            <v>2001 NOV</v>
          </cell>
          <cell r="H187">
            <v>173.6</v>
          </cell>
        </row>
        <row r="188">
          <cell r="G188" t="str">
            <v>2001 DEC</v>
          </cell>
          <cell r="H188">
            <v>173.4</v>
          </cell>
        </row>
        <row r="189">
          <cell r="G189" t="str">
            <v>2002 JAN</v>
          </cell>
          <cell r="H189">
            <v>173.3</v>
          </cell>
        </row>
        <row r="190">
          <cell r="G190" t="str">
            <v>2002 FEB</v>
          </cell>
          <cell r="H190">
            <v>173.8</v>
          </cell>
        </row>
        <row r="191">
          <cell r="G191" t="str">
            <v>2002 MAR</v>
          </cell>
          <cell r="H191">
            <v>174.5</v>
          </cell>
        </row>
        <row r="192">
          <cell r="G192" t="str">
            <v>2002 APR</v>
          </cell>
          <cell r="H192">
            <v>175.7</v>
          </cell>
        </row>
        <row r="193">
          <cell r="G193" t="str">
            <v>2002 MAY</v>
          </cell>
          <cell r="H193">
            <v>176.2</v>
          </cell>
        </row>
        <row r="194">
          <cell r="G194" t="str">
            <v>2002 JUN</v>
          </cell>
          <cell r="H194">
            <v>176.2</v>
          </cell>
        </row>
        <row r="195">
          <cell r="G195" t="str">
            <v>2002 JUL</v>
          </cell>
          <cell r="H195">
            <v>175.9</v>
          </cell>
        </row>
        <row r="196">
          <cell r="G196" t="str">
            <v>2002 AUG</v>
          </cell>
          <cell r="H196">
            <v>176.4</v>
          </cell>
        </row>
        <row r="197">
          <cell r="G197" t="str">
            <v>2002 SEP</v>
          </cell>
          <cell r="H197">
            <v>177.6</v>
          </cell>
        </row>
        <row r="198">
          <cell r="G198" t="str">
            <v>2002 OCT</v>
          </cell>
          <cell r="H198">
            <v>177.9</v>
          </cell>
        </row>
        <row r="199">
          <cell r="G199" t="str">
            <v>2002 NOV</v>
          </cell>
          <cell r="H199">
            <v>178.2</v>
          </cell>
        </row>
        <row r="200">
          <cell r="G200" t="str">
            <v>2002 DEC</v>
          </cell>
          <cell r="H200">
            <v>178.5</v>
          </cell>
        </row>
        <row r="201">
          <cell r="G201" t="str">
            <v>2003 JAN</v>
          </cell>
          <cell r="H201">
            <v>178.4</v>
          </cell>
        </row>
        <row r="202">
          <cell r="G202" t="str">
            <v>2003 FEB</v>
          </cell>
          <cell r="H202">
            <v>179.3</v>
          </cell>
        </row>
        <row r="203">
          <cell r="G203" t="str">
            <v>2003 MAR</v>
          </cell>
          <cell r="H203">
            <v>179.9</v>
          </cell>
        </row>
        <row r="204">
          <cell r="G204" t="str">
            <v>2003 APR</v>
          </cell>
          <cell r="H204">
            <v>181.2</v>
          </cell>
        </row>
        <row r="205">
          <cell r="G205" t="str">
            <v>2003 MAY</v>
          </cell>
          <cell r="H205">
            <v>181.5</v>
          </cell>
        </row>
        <row r="206">
          <cell r="G206" t="str">
            <v>2003 JUN</v>
          </cell>
          <cell r="H206">
            <v>181.3</v>
          </cell>
        </row>
        <row r="207">
          <cell r="G207" t="str">
            <v>2003 JUL</v>
          </cell>
          <cell r="H207">
            <v>181.3</v>
          </cell>
        </row>
        <row r="208">
          <cell r="G208" t="str">
            <v>2003 AUG</v>
          </cell>
          <cell r="H208">
            <v>181.6</v>
          </cell>
        </row>
        <row r="209">
          <cell r="G209" t="str">
            <v>2003 SEP</v>
          </cell>
          <cell r="H209">
            <v>182.5</v>
          </cell>
        </row>
        <row r="210">
          <cell r="G210" t="str">
            <v>2003 OCT</v>
          </cell>
          <cell r="H210">
            <v>182.6</v>
          </cell>
        </row>
        <row r="211">
          <cell r="G211" t="str">
            <v>2003 NOV</v>
          </cell>
          <cell r="H211">
            <v>182.7</v>
          </cell>
        </row>
        <row r="212">
          <cell r="G212" t="str">
            <v>2003 DEC</v>
          </cell>
          <cell r="H212">
            <v>183.5</v>
          </cell>
        </row>
        <row r="213">
          <cell r="G213" t="str">
            <v>2004 JAN</v>
          </cell>
          <cell r="H213">
            <v>183.1</v>
          </cell>
        </row>
        <row r="214">
          <cell r="G214" t="str">
            <v>2004 FEB</v>
          </cell>
          <cell r="H214">
            <v>183.8</v>
          </cell>
        </row>
        <row r="215">
          <cell r="G215" t="str">
            <v>2004 MAR</v>
          </cell>
          <cell r="H215">
            <v>184.6</v>
          </cell>
        </row>
        <row r="216">
          <cell r="G216" t="str">
            <v>2004 APR</v>
          </cell>
          <cell r="H216">
            <v>185.7</v>
          </cell>
        </row>
        <row r="217">
          <cell r="G217" t="str">
            <v>2004 MAY</v>
          </cell>
          <cell r="H217">
            <v>186.5</v>
          </cell>
        </row>
        <row r="218">
          <cell r="G218" t="str">
            <v>2004 JUN</v>
          </cell>
          <cell r="H218">
            <v>186.8</v>
          </cell>
        </row>
        <row r="219">
          <cell r="G219" t="str">
            <v>2004 JUL</v>
          </cell>
          <cell r="H219">
            <v>186.8</v>
          </cell>
        </row>
        <row r="220">
          <cell r="G220" t="str">
            <v>2004 AUG</v>
          </cell>
          <cell r="H220">
            <v>187.4</v>
          </cell>
        </row>
        <row r="221">
          <cell r="G221" t="str">
            <v>2004 SEP</v>
          </cell>
          <cell r="H221">
            <v>188.1</v>
          </cell>
        </row>
        <row r="222">
          <cell r="G222" t="str">
            <v>2004 OCT</v>
          </cell>
          <cell r="H222">
            <v>188.6</v>
          </cell>
        </row>
        <row r="223">
          <cell r="G223" t="str">
            <v>2004 NOV</v>
          </cell>
          <cell r="H223">
            <v>189</v>
          </cell>
        </row>
        <row r="224">
          <cell r="G224" t="str">
            <v>2004 DEC</v>
          </cell>
          <cell r="H224">
            <v>189.9</v>
          </cell>
        </row>
        <row r="225">
          <cell r="G225" t="str">
            <v>2005 JAN</v>
          </cell>
          <cell r="H225">
            <v>188.9</v>
          </cell>
        </row>
        <row r="226">
          <cell r="G226" t="str">
            <v>2005 FEB</v>
          </cell>
          <cell r="H226">
            <v>189.6</v>
          </cell>
        </row>
        <row r="227">
          <cell r="G227" t="str">
            <v>2005 MAR</v>
          </cell>
          <cell r="H227">
            <v>190.5</v>
          </cell>
        </row>
        <row r="228">
          <cell r="G228" t="str">
            <v>2005 APR</v>
          </cell>
          <cell r="H228">
            <v>191.6</v>
          </cell>
        </row>
        <row r="229">
          <cell r="G229" t="str">
            <v>2005 MAY</v>
          </cell>
          <cell r="H229">
            <v>192</v>
          </cell>
        </row>
        <row r="230">
          <cell r="G230" t="str">
            <v>2005 JUN</v>
          </cell>
          <cell r="H230">
            <v>192.2</v>
          </cell>
        </row>
        <row r="231">
          <cell r="G231" t="str">
            <v>2005 JUL</v>
          </cell>
          <cell r="H231">
            <v>192.2</v>
          </cell>
        </row>
        <row r="232">
          <cell r="G232" t="str">
            <v>2005 AUG</v>
          </cell>
          <cell r="H232">
            <v>192.6</v>
          </cell>
        </row>
        <row r="233">
          <cell r="G233" t="str">
            <v>2005 SEP</v>
          </cell>
          <cell r="H233">
            <v>193.1</v>
          </cell>
        </row>
        <row r="234">
          <cell r="G234" t="str">
            <v>2005 OCT</v>
          </cell>
          <cell r="H234">
            <v>193.3</v>
          </cell>
        </row>
        <row r="235">
          <cell r="G235" t="str">
            <v>2005 NOV</v>
          </cell>
          <cell r="H235">
            <v>193.6</v>
          </cell>
        </row>
        <row r="236">
          <cell r="G236" t="str">
            <v>2005 DEC</v>
          </cell>
          <cell r="H236">
            <v>194.1</v>
          </cell>
        </row>
        <row r="237">
          <cell r="G237" t="str">
            <v>2006 JAN</v>
          </cell>
          <cell r="H237">
            <v>193.4</v>
          </cell>
        </row>
        <row r="238">
          <cell r="G238" t="str">
            <v>2006 FEB</v>
          </cell>
          <cell r="H238">
            <v>194.2</v>
          </cell>
        </row>
        <row r="239">
          <cell r="G239" t="str">
            <v>2006 MAR</v>
          </cell>
          <cell r="H239">
            <v>195</v>
          </cell>
        </row>
        <row r="240">
          <cell r="G240" t="str">
            <v>2006 APR</v>
          </cell>
          <cell r="H240">
            <v>196.5</v>
          </cell>
        </row>
        <row r="241">
          <cell r="G241" t="str">
            <v>2006 MAY</v>
          </cell>
          <cell r="H241">
            <v>197.7</v>
          </cell>
        </row>
        <row r="242">
          <cell r="G242" t="str">
            <v>2006 JUN</v>
          </cell>
          <cell r="H242">
            <v>198.5</v>
          </cell>
        </row>
        <row r="243">
          <cell r="G243" t="str">
            <v>2006 JUL</v>
          </cell>
          <cell r="H243">
            <v>198.5</v>
          </cell>
        </row>
        <row r="244">
          <cell r="G244" t="str">
            <v>2006 AUG</v>
          </cell>
          <cell r="H244">
            <v>199.2</v>
          </cell>
        </row>
        <row r="245">
          <cell r="G245" t="str">
            <v>2006 SEP</v>
          </cell>
          <cell r="H245">
            <v>200.1</v>
          </cell>
        </row>
        <row r="246">
          <cell r="G246" t="str">
            <v>2006 OCT</v>
          </cell>
          <cell r="H246">
            <v>200.4</v>
          </cell>
        </row>
        <row r="247">
          <cell r="G247" t="str">
            <v>2006 NOV</v>
          </cell>
          <cell r="H247">
            <v>201.1</v>
          </cell>
        </row>
        <row r="248">
          <cell r="G248" t="str">
            <v>2006 DEC</v>
          </cell>
          <cell r="H248">
            <v>202.7</v>
          </cell>
        </row>
        <row r="249">
          <cell r="G249" t="str">
            <v>2007 JAN</v>
          </cell>
          <cell r="H249">
            <v>201.6</v>
          </cell>
        </row>
        <row r="250">
          <cell r="G250" t="str">
            <v>2007 FEB</v>
          </cell>
          <cell r="H250">
            <v>203.1</v>
          </cell>
        </row>
        <row r="251">
          <cell r="G251" t="str">
            <v>2007 MAR</v>
          </cell>
          <cell r="H251">
            <v>204.4</v>
          </cell>
        </row>
        <row r="252">
          <cell r="G252" t="str">
            <v>2007 APR</v>
          </cell>
          <cell r="H252">
            <v>205.4</v>
          </cell>
        </row>
        <row r="253">
          <cell r="G253" t="str">
            <v>2007 MAY</v>
          </cell>
          <cell r="H253">
            <v>206.2</v>
          </cell>
        </row>
        <row r="254">
          <cell r="G254" t="str">
            <v>2007 JUN</v>
          </cell>
          <cell r="H254">
            <v>207.3</v>
          </cell>
        </row>
        <row r="255">
          <cell r="G255" t="str">
            <v>2007 JUL</v>
          </cell>
          <cell r="H255">
            <v>206.1</v>
          </cell>
        </row>
        <row r="256">
          <cell r="G256" t="str">
            <v>2007 AUG</v>
          </cell>
          <cell r="H256">
            <v>207.3</v>
          </cell>
        </row>
        <row r="257">
          <cell r="G257" t="str">
            <v>2007 SEP</v>
          </cell>
          <cell r="H257">
            <v>208</v>
          </cell>
        </row>
        <row r="258">
          <cell r="G258" t="str">
            <v>2007 OCT</v>
          </cell>
          <cell r="H258">
            <v>208.9</v>
          </cell>
        </row>
        <row r="259">
          <cell r="G259" t="str">
            <v>2007 NOV</v>
          </cell>
          <cell r="H259">
            <v>209.7</v>
          </cell>
        </row>
        <row r="260">
          <cell r="G260" t="str">
            <v>2007 DEC</v>
          </cell>
          <cell r="H260">
            <v>210.9</v>
          </cell>
        </row>
        <row r="261">
          <cell r="G261" t="str">
            <v>2008 JAN</v>
          </cell>
          <cell r="H261">
            <v>209.8</v>
          </cell>
        </row>
        <row r="262">
          <cell r="G262" t="str">
            <v>2008 FEB</v>
          </cell>
          <cell r="H262">
            <v>211.4</v>
          </cell>
        </row>
        <row r="263">
          <cell r="G263" t="str">
            <v>2008 MAR</v>
          </cell>
          <cell r="H263">
            <v>212.1</v>
          </cell>
        </row>
        <row r="264">
          <cell r="G264" t="str">
            <v>2008 APR</v>
          </cell>
          <cell r="H264">
            <v>214</v>
          </cell>
        </row>
        <row r="265">
          <cell r="G265" t="str">
            <v>2008 MAY</v>
          </cell>
          <cell r="H265">
            <v>215.1</v>
          </cell>
        </row>
        <row r="266">
          <cell r="G266" t="str">
            <v>2008 JUN</v>
          </cell>
          <cell r="H266">
            <v>216.8</v>
          </cell>
        </row>
        <row r="267">
          <cell r="G267" t="str">
            <v>2008 JUL</v>
          </cell>
          <cell r="H267">
            <v>216.5</v>
          </cell>
        </row>
        <row r="268">
          <cell r="G268" t="str">
            <v>2008 AUG</v>
          </cell>
          <cell r="H268">
            <v>217.2</v>
          </cell>
        </row>
        <row r="269">
          <cell r="G269" t="str">
            <v>2008 SEP</v>
          </cell>
          <cell r="H269">
            <v>218.4</v>
          </cell>
        </row>
        <row r="270">
          <cell r="G270" t="str">
            <v>2008 OCT</v>
          </cell>
          <cell r="H270">
            <v>217.7</v>
          </cell>
        </row>
        <row r="271">
          <cell r="G271" t="str">
            <v>2008 NOV</v>
          </cell>
          <cell r="H271">
            <v>216</v>
          </cell>
        </row>
        <row r="272">
          <cell r="G272" t="str">
            <v>2008 DEC</v>
          </cell>
          <cell r="H272">
            <v>212.9</v>
          </cell>
        </row>
        <row r="273">
          <cell r="G273" t="str">
            <v>2009 JAN</v>
          </cell>
          <cell r="H273">
            <v>210.1</v>
          </cell>
        </row>
        <row r="274">
          <cell r="G274" t="str">
            <v>2009 FEB</v>
          </cell>
          <cell r="H274">
            <v>211.4</v>
          </cell>
        </row>
        <row r="275">
          <cell r="G275" t="str">
            <v>2009 MAR</v>
          </cell>
          <cell r="H275">
            <v>211.3</v>
          </cell>
        </row>
        <row r="276">
          <cell r="G276" t="str">
            <v>2009 APR</v>
          </cell>
          <cell r="H276">
            <v>211.5</v>
          </cell>
        </row>
        <row r="277">
          <cell r="G277" t="str">
            <v>2009 MAY</v>
          </cell>
          <cell r="H277">
            <v>212.8</v>
          </cell>
        </row>
        <row r="278">
          <cell r="G278" t="str">
            <v>2009 JUN</v>
          </cell>
          <cell r="H278">
            <v>213.4</v>
          </cell>
        </row>
        <row r="279">
          <cell r="G279" t="str">
            <v>2009 JUL</v>
          </cell>
          <cell r="H279">
            <v>213.4</v>
          </cell>
        </row>
        <row r="280">
          <cell r="G280" t="str">
            <v>2009 AUG</v>
          </cell>
          <cell r="H280">
            <v>214.4</v>
          </cell>
        </row>
        <row r="281">
          <cell r="G281" t="str">
            <v>2009 SEP</v>
          </cell>
          <cell r="H281">
            <v>215.3</v>
          </cell>
        </row>
        <row r="282">
          <cell r="G282" t="str">
            <v>2009 OCT</v>
          </cell>
          <cell r="H282">
            <v>216</v>
          </cell>
        </row>
        <row r="283">
          <cell r="G283" t="str">
            <v>2009 NOV</v>
          </cell>
          <cell r="H283">
            <v>216.6</v>
          </cell>
        </row>
        <row r="284">
          <cell r="G284" t="str">
            <v>2009 DEC</v>
          </cell>
          <cell r="H284">
            <v>218</v>
          </cell>
        </row>
        <row r="285">
          <cell r="G285" t="str">
            <v>2010 JAN</v>
          </cell>
          <cell r="H285">
            <v>217.9</v>
          </cell>
        </row>
        <row r="286">
          <cell r="G286" t="str">
            <v>2010 FEB</v>
          </cell>
          <cell r="H286">
            <v>219.2</v>
          </cell>
        </row>
        <row r="287">
          <cell r="G287" t="str">
            <v>2010 MAR</v>
          </cell>
          <cell r="H287">
            <v>220.7</v>
          </cell>
        </row>
        <row r="288">
          <cell r="G288" t="str">
            <v>2010 APR</v>
          </cell>
          <cell r="H288">
            <v>222.8</v>
          </cell>
        </row>
        <row r="289">
          <cell r="G289" t="str">
            <v>2010 MAY</v>
          </cell>
          <cell r="H289">
            <v>223.6</v>
          </cell>
        </row>
        <row r="290">
          <cell r="G290" t="str">
            <v>2010 JUN</v>
          </cell>
          <cell r="H290">
            <v>224.1</v>
          </cell>
        </row>
        <row r="291">
          <cell r="G291" t="str">
            <v>2010 JUL</v>
          </cell>
          <cell r="H291">
            <v>223.6</v>
          </cell>
        </row>
        <row r="292">
          <cell r="G292" t="str">
            <v>2010 AUG</v>
          </cell>
          <cell r="H292">
            <v>224.5</v>
          </cell>
        </row>
        <row r="293">
          <cell r="G293" t="str">
            <v>2010 SEP</v>
          </cell>
          <cell r="H293">
            <v>225.3</v>
          </cell>
        </row>
        <row r="294">
          <cell r="G294" t="str">
            <v>2010 OCT</v>
          </cell>
          <cell r="H294">
            <v>225.8</v>
          </cell>
        </row>
        <row r="295">
          <cell r="G295" t="str">
            <v>2010 NOV</v>
          </cell>
          <cell r="H295">
            <v>226.8</v>
          </cell>
        </row>
        <row r="296">
          <cell r="G296" t="str">
            <v>2010 DEC</v>
          </cell>
          <cell r="H296">
            <v>228.4</v>
          </cell>
        </row>
        <row r="297">
          <cell r="G297" t="str">
            <v>2011 JAN</v>
          </cell>
          <cell r="H297">
            <v>229</v>
          </cell>
        </row>
        <row r="298">
          <cell r="G298" t="str">
            <v>2011 FEB</v>
          </cell>
          <cell r="H298">
            <v>231.3</v>
          </cell>
        </row>
        <row r="299">
          <cell r="G299" t="str">
            <v>2011 MAR</v>
          </cell>
          <cell r="H299">
            <v>232.5</v>
          </cell>
        </row>
        <row r="300">
          <cell r="G300" t="str">
            <v>2011 APR</v>
          </cell>
          <cell r="H300">
            <v>234.4</v>
          </cell>
        </row>
        <row r="301">
          <cell r="G301" t="str">
            <v>2011 MAY</v>
          </cell>
          <cell r="H301">
            <v>235.2</v>
          </cell>
        </row>
        <row r="302">
          <cell r="G302" t="str">
            <v>2011 JUN</v>
          </cell>
          <cell r="H302">
            <v>235.2</v>
          </cell>
        </row>
        <row r="303">
          <cell r="G303" t="str">
            <v>2011 JUL</v>
          </cell>
          <cell r="H303">
            <v>234.7</v>
          </cell>
        </row>
        <row r="304">
          <cell r="G304" t="str">
            <v>2011 AUG</v>
          </cell>
          <cell r="H304">
            <v>236.1</v>
          </cell>
        </row>
        <row r="305">
          <cell r="G305" t="str">
            <v>2011 SEP</v>
          </cell>
          <cell r="H305">
            <v>237.9</v>
          </cell>
        </row>
        <row r="306">
          <cell r="G306" t="str">
            <v>2011 OCT</v>
          </cell>
          <cell r="H306">
            <v>238</v>
          </cell>
        </row>
        <row r="307">
          <cell r="G307" t="str">
            <v>2011 NOV</v>
          </cell>
          <cell r="H307">
            <v>238.5</v>
          </cell>
        </row>
        <row r="308">
          <cell r="G308" t="str">
            <v>2011 DEC</v>
          </cell>
          <cell r="H308">
            <v>239.4</v>
          </cell>
        </row>
        <row r="309">
          <cell r="G309" t="str">
            <v>2012 JAN</v>
          </cell>
          <cell r="H309">
            <v>238</v>
          </cell>
        </row>
        <row r="310">
          <cell r="G310" t="str">
            <v>2012 FEB</v>
          </cell>
          <cell r="H310">
            <v>239.9</v>
          </cell>
        </row>
        <row r="311">
          <cell r="G311" t="str">
            <v>2012 MAR</v>
          </cell>
          <cell r="H311">
            <v>240.8</v>
          </cell>
        </row>
        <row r="312">
          <cell r="G312" t="str">
            <v>2012 APR</v>
          </cell>
          <cell r="H312">
            <v>242.5</v>
          </cell>
        </row>
        <row r="313">
          <cell r="G313" t="str">
            <v>2012 MAY</v>
          </cell>
          <cell r="H313">
            <v>242.4</v>
          </cell>
        </row>
        <row r="314">
          <cell r="G314" t="str">
            <v>2012 JUN</v>
          </cell>
          <cell r="H314">
            <v>241.8</v>
          </cell>
        </row>
        <row r="315">
          <cell r="G315" t="str">
            <v>2012 JUL</v>
          </cell>
          <cell r="H315">
            <v>242.1</v>
          </cell>
        </row>
        <row r="316">
          <cell r="G316" t="str">
            <v>2012 AUG</v>
          </cell>
          <cell r="H316">
            <v>243</v>
          </cell>
        </row>
        <row r="317">
          <cell r="G317" t="str">
            <v>2012 SEP</v>
          </cell>
          <cell r="H317">
            <v>244.2</v>
          </cell>
        </row>
        <row r="318">
          <cell r="G318" t="str">
            <v>2012 OCT</v>
          </cell>
          <cell r="H318">
            <v>245.6</v>
          </cell>
        </row>
        <row r="319">
          <cell r="G319" t="str">
            <v>2012 NOV</v>
          </cell>
          <cell r="H319">
            <v>245.6</v>
          </cell>
        </row>
        <row r="320">
          <cell r="G320" t="str">
            <v>2012 DEC</v>
          </cell>
          <cell r="H320">
            <v>246.8</v>
          </cell>
        </row>
        <row r="321">
          <cell r="G321" t="str">
            <v>2013 JAN</v>
          </cell>
          <cell r="H321">
            <v>245.8</v>
          </cell>
        </row>
        <row r="322">
          <cell r="G322" t="str">
            <v>2013 FEB</v>
          </cell>
          <cell r="H322">
            <v>247.6</v>
          </cell>
        </row>
        <row r="323">
          <cell r="G323" t="str">
            <v>2013 MAR</v>
          </cell>
          <cell r="H323">
            <v>248.7</v>
          </cell>
        </row>
        <row r="324">
          <cell r="G324" t="str">
            <v>2013 APR</v>
          </cell>
          <cell r="H324">
            <v>249.5</v>
          </cell>
        </row>
        <row r="325">
          <cell r="G325" t="str">
            <v>2013 MAY</v>
          </cell>
          <cell r="H325">
            <v>250</v>
          </cell>
        </row>
        <row r="326">
          <cell r="G326" t="str">
            <v>2013 JUN</v>
          </cell>
          <cell r="H326">
            <v>249.7</v>
          </cell>
        </row>
        <row r="327">
          <cell r="G327" t="str">
            <v>2013 JUL</v>
          </cell>
          <cell r="H327">
            <v>249.7</v>
          </cell>
        </row>
        <row r="328">
          <cell r="G328" t="str">
            <v>2013 AUG</v>
          </cell>
          <cell r="H328">
            <v>251</v>
          </cell>
        </row>
        <row r="329">
          <cell r="G329" t="str">
            <v>2013 SEP</v>
          </cell>
          <cell r="H329">
            <v>251.9</v>
          </cell>
        </row>
        <row r="330">
          <cell r="G330" t="str">
            <v>2013 OCT</v>
          </cell>
          <cell r="H330">
            <v>251.9</v>
          </cell>
        </row>
        <row r="331">
          <cell r="G331" t="str">
            <v>2013 NOV</v>
          </cell>
          <cell r="H331">
            <v>252.1</v>
          </cell>
        </row>
        <row r="332">
          <cell r="G332" t="str">
            <v>2013 DEC</v>
          </cell>
          <cell r="H332">
            <v>253.4</v>
          </cell>
        </row>
        <row r="333">
          <cell r="G333" t="str">
            <v>2014 JAN</v>
          </cell>
          <cell r="H333">
            <v>252.6</v>
          </cell>
        </row>
        <row r="334">
          <cell r="G334" t="str">
            <v>2014 FEB</v>
          </cell>
          <cell r="H334">
            <v>254.2</v>
          </cell>
        </row>
        <row r="335">
          <cell r="G335" t="str">
            <v>2014 MAR</v>
          </cell>
          <cell r="H335">
            <v>254.8</v>
          </cell>
        </row>
        <row r="336">
          <cell r="G336" t="str">
            <v>2014 APR</v>
          </cell>
          <cell r="H336">
            <v>255.7</v>
          </cell>
        </row>
        <row r="337">
          <cell r="G337" t="str">
            <v>2014 MAY</v>
          </cell>
          <cell r="H337">
            <v>255.9</v>
          </cell>
        </row>
        <row r="338">
          <cell r="G338" t="str">
            <v>2014 JUN</v>
          </cell>
          <cell r="H338">
            <v>256.3</v>
          </cell>
        </row>
        <row r="339">
          <cell r="G339" t="str">
            <v>2014 JUL</v>
          </cell>
          <cell r="H339">
            <v>256</v>
          </cell>
        </row>
        <row r="340">
          <cell r="G340" t="str">
            <v>2014 AUG</v>
          </cell>
          <cell r="H340">
            <v>257</v>
          </cell>
        </row>
        <row r="341">
          <cell r="G341" t="str">
            <v>2014 SEP</v>
          </cell>
          <cell r="H341">
            <v>257.60000000000002</v>
          </cell>
        </row>
        <row r="342">
          <cell r="G342" t="str">
            <v>2014 OCT</v>
          </cell>
          <cell r="H342">
            <v>257.7</v>
          </cell>
        </row>
        <row r="343">
          <cell r="G343" t="str">
            <v>2014 NOV</v>
          </cell>
          <cell r="H343">
            <v>257.10000000000002</v>
          </cell>
        </row>
        <row r="344">
          <cell r="G344" t="str">
            <v>2014 DEC</v>
          </cell>
          <cell r="H344">
            <v>257.5</v>
          </cell>
        </row>
        <row r="345">
          <cell r="G345" t="str">
            <v>2015 JAN</v>
          </cell>
          <cell r="H345">
            <v>255.4</v>
          </cell>
        </row>
        <row r="346">
          <cell r="G346" t="str">
            <v>2015 FEB</v>
          </cell>
          <cell r="H346">
            <v>256.7</v>
          </cell>
        </row>
        <row r="347">
          <cell r="G347" t="str">
            <v>2015 MAR</v>
          </cell>
          <cell r="H347">
            <v>257.10000000000002</v>
          </cell>
        </row>
        <row r="348">
          <cell r="G348" t="str">
            <v>2015 APR</v>
          </cell>
          <cell r="H348">
            <v>258</v>
          </cell>
        </row>
        <row r="349">
          <cell r="G349" t="str">
            <v>2015 MAY</v>
          </cell>
          <cell r="H349">
            <v>258.5</v>
          </cell>
        </row>
        <row r="350">
          <cell r="G350" t="str">
            <v>2015 JUN</v>
          </cell>
          <cell r="H350">
            <v>258.89999999999998</v>
          </cell>
        </row>
        <row r="351">
          <cell r="G351" t="str">
            <v>2015 JUL</v>
          </cell>
          <cell r="H351">
            <v>258.60000000000002</v>
          </cell>
        </row>
        <row r="352">
          <cell r="G352" t="str">
            <v>2015 AUG</v>
          </cell>
          <cell r="H352">
            <v>259.8</v>
          </cell>
        </row>
        <row r="353">
          <cell r="G353" t="str">
            <v>2015 SEP</v>
          </cell>
          <cell r="H353">
            <v>259.60000000000002</v>
          </cell>
        </row>
        <row r="354">
          <cell r="G354" t="str">
            <v>2015 OCT</v>
          </cell>
          <cell r="H354">
            <v>259.5</v>
          </cell>
        </row>
        <row r="355">
          <cell r="G355" t="str">
            <v>2015 NOV</v>
          </cell>
          <cell r="H355">
            <v>259.8</v>
          </cell>
        </row>
        <row r="356">
          <cell r="G356" t="str">
            <v>2015 DEC</v>
          </cell>
          <cell r="H356">
            <v>260.60000000000002</v>
          </cell>
        </row>
        <row r="357">
          <cell r="G357" t="str">
            <v>2016 JAN</v>
          </cell>
          <cell r="H357">
            <v>258.8</v>
          </cell>
        </row>
        <row r="358">
          <cell r="G358" t="str">
            <v>2016 FEB</v>
          </cell>
          <cell r="H358">
            <v>260</v>
          </cell>
        </row>
        <row r="359">
          <cell r="G359" t="str">
            <v>2016 MAR</v>
          </cell>
          <cell r="H359">
            <v>261.10000000000002</v>
          </cell>
        </row>
        <row r="360">
          <cell r="G360" t="str">
            <v>2016 APR</v>
          </cell>
          <cell r="H360">
            <v>261.39999999999998</v>
          </cell>
        </row>
        <row r="361">
          <cell r="G361" t="str">
            <v>2016 MAY</v>
          </cell>
          <cell r="H361">
            <v>262.10000000000002</v>
          </cell>
        </row>
        <row r="362">
          <cell r="G362" t="str">
            <v>2016 JUN</v>
          </cell>
          <cell r="H362">
            <v>263.10000000000002</v>
          </cell>
        </row>
        <row r="363">
          <cell r="G363" t="str">
            <v>2016 JUL</v>
          </cell>
          <cell r="H363">
            <v>263.39999999999998</v>
          </cell>
        </row>
        <row r="364">
          <cell r="G364" t="str">
            <v>2016 AUG</v>
          </cell>
          <cell r="H364">
            <v>264.39999999999998</v>
          </cell>
        </row>
        <row r="365">
          <cell r="G365" t="str">
            <v>2016 SEP</v>
          </cell>
          <cell r="H365">
            <v>264.89999999999998</v>
          </cell>
        </row>
        <row r="366">
          <cell r="G366" t="str">
            <v>2016 OCT</v>
          </cell>
          <cell r="H366">
            <v>264.8</v>
          </cell>
        </row>
        <row r="367">
          <cell r="G367" t="str">
            <v>2016 NOV</v>
          </cell>
          <cell r="H367">
            <v>265.5</v>
          </cell>
        </row>
        <row r="368">
          <cell r="G368" t="str">
            <v>2016 DEC</v>
          </cell>
          <cell r="H368">
            <v>267.10000000000002</v>
          </cell>
        </row>
        <row r="369">
          <cell r="G369" t="str">
            <v>2017 JAN</v>
          </cell>
          <cell r="H369">
            <v>265.5</v>
          </cell>
        </row>
        <row r="370">
          <cell r="G370" t="str">
            <v>2017 FEB</v>
          </cell>
          <cell r="H370">
            <v>268.39999999999998</v>
          </cell>
        </row>
        <row r="371">
          <cell r="G371" t="str">
            <v>2017 MAR</v>
          </cell>
          <cell r="H371">
            <v>269.3</v>
          </cell>
        </row>
        <row r="372">
          <cell r="G372" t="str">
            <v>2017 APR</v>
          </cell>
          <cell r="H372">
            <v>270.60000000000002</v>
          </cell>
        </row>
        <row r="373">
          <cell r="G373" t="str">
            <v>2017 MAY</v>
          </cell>
          <cell r="H373">
            <v>271.7</v>
          </cell>
        </row>
        <row r="374">
          <cell r="G374" t="str">
            <v>2017 JUN</v>
          </cell>
          <cell r="H374">
            <v>272.3</v>
          </cell>
        </row>
        <row r="375">
          <cell r="G375" t="str">
            <v>2017 JUL</v>
          </cell>
          <cell r="H375">
            <v>272.89999999999998</v>
          </cell>
        </row>
        <row r="376">
          <cell r="G376" t="str">
            <v>2017 AUG</v>
          </cell>
          <cell r="H376">
            <v>274.7</v>
          </cell>
        </row>
        <row r="377">
          <cell r="G377" t="str">
            <v>2017 SEP</v>
          </cell>
          <cell r="H377">
            <v>275.10000000000002</v>
          </cell>
        </row>
        <row r="378">
          <cell r="G378" t="str">
            <v>2017 OCT</v>
          </cell>
          <cell r="H378">
            <v>275.3</v>
          </cell>
        </row>
        <row r="379">
          <cell r="G379" t="str">
            <v>2017 NOV</v>
          </cell>
          <cell r="H379">
            <v>275.8</v>
          </cell>
        </row>
        <row r="380">
          <cell r="G380" t="str">
            <v>2017 DEC</v>
          </cell>
          <cell r="H380">
            <v>278.10000000000002</v>
          </cell>
        </row>
        <row r="381">
          <cell r="G381" t="str">
            <v>2018 JAN</v>
          </cell>
          <cell r="H381">
            <v>276</v>
          </cell>
        </row>
        <row r="382">
          <cell r="G382" t="str">
            <v>2018 FEB</v>
          </cell>
          <cell r="H382">
            <v>278.10000000000002</v>
          </cell>
        </row>
        <row r="383">
          <cell r="G383" t="str">
            <v>2018 MAR</v>
          </cell>
          <cell r="H383">
            <v>278.3</v>
          </cell>
        </row>
        <row r="384">
          <cell r="G384" t="str">
            <v>2018 APR</v>
          </cell>
          <cell r="H384">
            <v>279.7</v>
          </cell>
        </row>
        <row r="385">
          <cell r="G385" t="str">
            <v>2018 MAY</v>
          </cell>
          <cell r="H385">
            <v>280.7</v>
          </cell>
        </row>
        <row r="386">
          <cell r="G386" t="str">
            <v>2018 JUN</v>
          </cell>
          <cell r="H386">
            <v>281.5</v>
          </cell>
        </row>
        <row r="387">
          <cell r="G387" t="str">
            <v>2018 JUL</v>
          </cell>
          <cell r="H387">
            <v>281.7</v>
          </cell>
        </row>
        <row r="388">
          <cell r="G388" t="str">
            <v>2018 AUG</v>
          </cell>
          <cell r="H388">
            <v>284.2</v>
          </cell>
        </row>
        <row r="389">
          <cell r="G389" t="str">
            <v>2018 SEP</v>
          </cell>
          <cell r="H389">
            <v>284.10000000000002</v>
          </cell>
        </row>
        <row r="390">
          <cell r="G390" t="str">
            <v>2018 OCT</v>
          </cell>
          <cell r="H390">
            <v>284.5</v>
          </cell>
        </row>
        <row r="391">
          <cell r="G391" t="str">
            <v>2018 NOV</v>
          </cell>
          <cell r="H391">
            <v>284.60000000000002</v>
          </cell>
        </row>
        <row r="392">
          <cell r="G392" t="str">
            <v>2018 DEC</v>
          </cell>
          <cell r="H392">
            <v>285.60000000000002</v>
          </cell>
        </row>
        <row r="393">
          <cell r="G393" t="str">
            <v>2019 JAN</v>
          </cell>
          <cell r="H393">
            <v>283</v>
          </cell>
        </row>
        <row r="394">
          <cell r="G394" t="str">
            <v>2019 FEB</v>
          </cell>
          <cell r="H394">
            <v>285</v>
          </cell>
        </row>
        <row r="395">
          <cell r="G395" t="str">
            <v>2019 MAR</v>
          </cell>
          <cell r="H395">
            <v>285.10000000000002</v>
          </cell>
        </row>
        <row r="396">
          <cell r="G396" t="str">
            <v>2019 APR</v>
          </cell>
          <cell r="H396">
            <v>288.2</v>
          </cell>
        </row>
        <row r="397">
          <cell r="G397" t="str">
            <v>2019 MAY</v>
          </cell>
          <cell r="H397">
            <v>289.2</v>
          </cell>
        </row>
        <row r="398">
          <cell r="G398" t="str">
            <v>2019 JUN</v>
          </cell>
          <cell r="H398">
            <v>289.60000000000002</v>
          </cell>
        </row>
        <row r="399">
          <cell r="G399" t="str">
            <v>2019 JUL</v>
          </cell>
          <cell r="H399">
            <v>289.5</v>
          </cell>
        </row>
        <row r="400">
          <cell r="G400" t="str">
            <v>2019 AUG</v>
          </cell>
          <cell r="H400">
            <v>291.7</v>
          </cell>
        </row>
        <row r="401">
          <cell r="G401" t="str">
            <v>2019 SEP</v>
          </cell>
          <cell r="H401">
            <v>291</v>
          </cell>
        </row>
        <row r="402">
          <cell r="G402" t="str">
            <v>2019 OCT</v>
          </cell>
          <cell r="H402">
            <v>290.39999999999998</v>
          </cell>
        </row>
        <row r="403">
          <cell r="G403" t="str">
            <v>2019 NOV</v>
          </cell>
          <cell r="H403">
            <v>291</v>
          </cell>
        </row>
        <row r="404">
          <cell r="G404" t="str">
            <v>2019 DEC</v>
          </cell>
          <cell r="H404">
            <v>291.89999999999998</v>
          </cell>
        </row>
        <row r="405">
          <cell r="G405" t="str">
            <v>2020 JAN</v>
          </cell>
          <cell r="H405">
            <v>290.60000000000002</v>
          </cell>
        </row>
        <row r="406">
          <cell r="G406" t="str">
            <v>2020 FEB</v>
          </cell>
          <cell r="H406">
            <v>292</v>
          </cell>
        </row>
        <row r="407">
          <cell r="G407" t="str">
            <v>2020 MAR</v>
          </cell>
          <cell r="H407">
            <v>292.60000000000002</v>
          </cell>
        </row>
        <row r="408">
          <cell r="G408" t="str">
            <v>2020 APR</v>
          </cell>
          <cell r="H408">
            <v>292.60000000000002</v>
          </cell>
        </row>
        <row r="409">
          <cell r="G409" t="str">
            <v>2020 MAY</v>
          </cell>
          <cell r="H409">
            <v>292.2</v>
          </cell>
        </row>
        <row r="410">
          <cell r="G410" t="str">
            <v>2020 JUN</v>
          </cell>
          <cell r="H410">
            <v>292.7</v>
          </cell>
        </row>
        <row r="411">
          <cell r="G411" t="str">
            <v>2020 JUL</v>
          </cell>
          <cell r="H411">
            <v>294.2</v>
          </cell>
        </row>
        <row r="412">
          <cell r="G412" t="str">
            <v>2020 AUG</v>
          </cell>
          <cell r="H412">
            <v>293.3</v>
          </cell>
        </row>
        <row r="413">
          <cell r="G413" t="str">
            <v>2020 SEP</v>
          </cell>
          <cell r="H413">
            <v>294.3</v>
          </cell>
        </row>
        <row r="414">
          <cell r="G414" t="str">
            <v>2020 OCT</v>
          </cell>
          <cell r="H414">
            <v>294.3</v>
          </cell>
        </row>
        <row r="415">
          <cell r="G415" t="str">
            <v>2020 NOV</v>
          </cell>
          <cell r="H415">
            <v>293.5</v>
          </cell>
        </row>
        <row r="416">
          <cell r="G416" t="str">
            <v>2020 DEC</v>
          </cell>
          <cell r="H416">
            <v>295.39999999999998</v>
          </cell>
        </row>
        <row r="417">
          <cell r="G417" t="str">
            <v>2021 JAN</v>
          </cell>
          <cell r="H417">
            <v>294.60000000000002</v>
          </cell>
        </row>
        <row r="418">
          <cell r="G418" t="str">
            <v>2021 FEB</v>
          </cell>
          <cell r="H418">
            <v>296</v>
          </cell>
        </row>
        <row r="419">
          <cell r="G419" t="str">
            <v>2021 MAR</v>
          </cell>
          <cell r="H419">
            <v>296.89999999999998</v>
          </cell>
        </row>
        <row r="420">
          <cell r="G420" t="str">
            <v>2021 APR</v>
          </cell>
          <cell r="H420">
            <v>301.10000000000002</v>
          </cell>
        </row>
        <row r="421">
          <cell r="G421" t="str">
            <v>2021 MAY</v>
          </cell>
          <cell r="H421">
            <v>301.89999999999998</v>
          </cell>
        </row>
        <row r="422">
          <cell r="G422" t="str">
            <v>2021 JUN</v>
          </cell>
          <cell r="H422">
            <v>304</v>
          </cell>
        </row>
        <row r="423">
          <cell r="G423" t="str">
            <v>2021 JUL</v>
          </cell>
          <cell r="H423">
            <v>305.5</v>
          </cell>
        </row>
        <row r="424">
          <cell r="G424" t="str">
            <v>2021 AUG</v>
          </cell>
          <cell r="H424">
            <v>307.39999999999998</v>
          </cell>
        </row>
        <row r="425">
          <cell r="G425" t="str">
            <v>2021 SEP</v>
          </cell>
          <cell r="H425">
            <v>308.60000000000002</v>
          </cell>
        </row>
        <row r="426">
          <cell r="G426" t="str">
            <v>2021 OCT</v>
          </cell>
          <cell r="H426">
            <v>312</v>
          </cell>
        </row>
        <row r="427">
          <cell r="G427" t="str">
            <v>2021 NOV</v>
          </cell>
          <cell r="H427">
            <v>314.3</v>
          </cell>
        </row>
        <row r="428">
          <cell r="G428" t="str">
            <v>2021 DEC</v>
          </cell>
          <cell r="H428">
            <v>317.7</v>
          </cell>
        </row>
        <row r="429">
          <cell r="G429" t="str">
            <v>2022 JAN</v>
          </cell>
          <cell r="H429">
            <v>317.7</v>
          </cell>
        </row>
        <row r="430">
          <cell r="G430" t="str">
            <v>2022 FEB</v>
          </cell>
          <cell r="H430">
            <v>320.2</v>
          </cell>
        </row>
        <row r="431">
          <cell r="G431" t="str">
            <v>2022 MAR</v>
          </cell>
          <cell r="H431">
            <v>323.5</v>
          </cell>
        </row>
        <row r="432">
          <cell r="G432" t="str">
            <v>2022 APR</v>
          </cell>
          <cell r="H432">
            <v>334.6</v>
          </cell>
        </row>
        <row r="433">
          <cell r="G433" t="str">
            <v>2022 MAY</v>
          </cell>
          <cell r="H433">
            <v>337.1</v>
          </cell>
        </row>
        <row r="434">
          <cell r="G434" t="str">
            <v>2022 JUN</v>
          </cell>
          <cell r="H434">
            <v>340</v>
          </cell>
        </row>
        <row r="435">
          <cell r="G435" t="str">
            <v>2022 JUL</v>
          </cell>
          <cell r="H435">
            <v>343.2</v>
          </cell>
        </row>
        <row r="436">
          <cell r="G436" t="str">
            <v>2022 AUG</v>
          </cell>
          <cell r="H436">
            <v>345.2</v>
          </cell>
        </row>
        <row r="437">
          <cell r="G437" t="str">
            <v>2022 SEP</v>
          </cell>
          <cell r="H437">
            <v>347.6</v>
          </cell>
        </row>
        <row r="438">
          <cell r="G438" t="str">
            <v>2022 OCT</v>
          </cell>
          <cell r="H438">
            <v>356.2</v>
          </cell>
        </row>
        <row r="439">
          <cell r="G439" t="str">
            <v>2022 NOV</v>
          </cell>
          <cell r="H439">
            <v>358.3</v>
          </cell>
        </row>
        <row r="440">
          <cell r="G440" t="str">
            <v>2022 DEC</v>
          </cell>
          <cell r="H440">
            <v>360.4</v>
          </cell>
        </row>
        <row r="441">
          <cell r="G441" t="str">
            <v>2023 JAN</v>
          </cell>
          <cell r="H441">
            <v>360.3</v>
          </cell>
        </row>
        <row r="442">
          <cell r="G442" t="str">
            <v>2023 FEB</v>
          </cell>
          <cell r="H442">
            <v>364.5</v>
          </cell>
        </row>
        <row r="443">
          <cell r="G443" t="str">
            <v>2023 MAR</v>
          </cell>
          <cell r="H443">
            <v>367.2</v>
          </cell>
        </row>
        <row r="444">
          <cell r="G444" t="str">
            <v>2023 APR</v>
          </cell>
          <cell r="H444">
            <v>372.8</v>
          </cell>
        </row>
        <row r="445">
          <cell r="G445" t="str">
            <v>2023 MAY</v>
          </cell>
          <cell r="H445">
            <v>375.3</v>
          </cell>
        </row>
        <row r="446">
          <cell r="G446" t="str">
            <v>2023 JUN</v>
          </cell>
          <cell r="H446">
            <v>376.4</v>
          </cell>
        </row>
        <row r="447">
          <cell r="G447" t="str">
            <v>2023 JUL</v>
          </cell>
          <cell r="H447">
            <v>374.2</v>
          </cell>
        </row>
        <row r="448">
          <cell r="G448" t="str">
            <v>2023 AUG</v>
          </cell>
          <cell r="H448">
            <v>376.6</v>
          </cell>
        </row>
        <row r="449">
          <cell r="G449" t="str">
            <v>2023 SEP</v>
          </cell>
          <cell r="H449">
            <v>378.4</v>
          </cell>
        </row>
        <row r="450">
          <cell r="G450" t="str">
            <v>2023 OCT</v>
          </cell>
          <cell r="H450">
            <v>377.8</v>
          </cell>
        </row>
        <row r="451">
          <cell r="G451" t="str">
            <v>2023 NOV</v>
          </cell>
          <cell r="H451">
            <v>377.3</v>
          </cell>
        </row>
        <row r="452">
          <cell r="G452" t="str">
            <v>2023 DEC</v>
          </cell>
          <cell r="H452">
            <v>379</v>
          </cell>
        </row>
        <row r="453">
          <cell r="G453" t="str">
            <v>2024 JAN</v>
          </cell>
          <cell r="H453">
            <v>378</v>
          </cell>
        </row>
        <row r="454">
          <cell r="G454" t="str">
            <v>2024 FEB</v>
          </cell>
          <cell r="H454">
            <v>381</v>
          </cell>
        </row>
        <row r="455">
          <cell r="G455" t="str">
            <v>2024 MAR</v>
          </cell>
          <cell r="H455">
            <v>383</v>
          </cell>
        </row>
        <row r="456">
          <cell r="G456" t="str">
            <v>2024 APR</v>
          </cell>
          <cell r="H456">
            <v>385</v>
          </cell>
        </row>
        <row r="457">
          <cell r="G457" t="str">
            <v>2024 MAY</v>
          </cell>
          <cell r="H457">
            <v>386.4</v>
          </cell>
        </row>
        <row r="458">
          <cell r="G458" t="str">
            <v>2024 JUN</v>
          </cell>
          <cell r="H458">
            <v>387.3</v>
          </cell>
        </row>
        <row r="459">
          <cell r="G459" t="str">
            <v>2024 JUL</v>
          </cell>
          <cell r="H459">
            <v>387.5</v>
          </cell>
        </row>
        <row r="460">
          <cell r="G460" t="str">
            <v>2024 AUG</v>
          </cell>
          <cell r="H460">
            <v>389.9</v>
          </cell>
        </row>
        <row r="461">
          <cell r="G461" t="str">
            <v>2024 SEP</v>
          </cell>
          <cell r="H461">
            <v>388.6</v>
          </cell>
        </row>
        <row r="462">
          <cell r="G462" t="str">
            <v>2024 OCT</v>
          </cell>
          <cell r="H462">
            <v>390.7</v>
          </cell>
        </row>
        <row r="463">
          <cell r="G463" t="str">
            <v>2024 NOV</v>
          </cell>
          <cell r="H463">
            <v>390.9</v>
          </cell>
        </row>
        <row r="464">
          <cell r="G464" t="str">
            <v>2024 DEC</v>
          </cell>
          <cell r="H464">
            <v>392.1</v>
          </cell>
        </row>
        <row r="465">
          <cell r="G465" t="str">
            <v>2025 JAN</v>
          </cell>
          <cell r="H465">
            <v>391.7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hyperlink" Target="http://www.ons.gov.uk/ons/datasets-and-tables/data-selector.html?cdid=CHAW&amp;dataset=mm23&amp;table-id=2.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ederalreserve.gov/monetarypolicy/fomccalendars.htm" TargetMode="External"/><Relationship Id="rId2" Type="http://schemas.openxmlformats.org/officeDocument/2006/relationships/hyperlink" Target="https://www.cmegroup.com/markets/interest-rates/cme-fedwatch-tool.html" TargetMode="External"/><Relationship Id="rId1" Type="http://schemas.openxmlformats.org/officeDocument/2006/relationships/hyperlink" Target="https://www.cmegroup.com/markets/interest-rates/cme-fedwatch-tool.htm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A7974E-8F71-4F63-9AC8-F3E83D62C511}">
  <sheetPr>
    <tabColor rgb="FF92D050"/>
  </sheetPr>
  <dimension ref="A2:G19"/>
  <sheetViews>
    <sheetView zoomScale="70" zoomScaleNormal="70" workbookViewId="0">
      <selection activeCell="H19" sqref="H5:H19"/>
    </sheetView>
  </sheetViews>
  <sheetFormatPr defaultRowHeight="28.5"/>
  <cols>
    <col min="1" max="1" width="57.6640625" bestFit="1" customWidth="1"/>
    <col min="2" max="2" width="12.796875" bestFit="1" customWidth="1"/>
    <col min="3" max="3" width="11.46484375" customWidth="1"/>
    <col min="4" max="4" width="10.9296875" bestFit="1" customWidth="1"/>
    <col min="6" max="6" width="17.46484375" customWidth="1"/>
    <col min="7" max="7" width="15.6640625" bestFit="1" customWidth="1"/>
  </cols>
  <sheetData>
    <row r="2" spans="1:7">
      <c r="A2" s="262" t="s">
        <v>0</v>
      </c>
    </row>
    <row r="3" spans="1:7">
      <c r="A3" s="263"/>
    </row>
    <row r="4" spans="1:7">
      <c r="A4" s="22" t="s">
        <v>1</v>
      </c>
      <c r="B4" s="19" t="s">
        <v>2</v>
      </c>
      <c r="C4" s="42" t="s">
        <v>3</v>
      </c>
      <c r="D4" s="42" t="s">
        <v>4</v>
      </c>
      <c r="E4" s="42" t="s">
        <v>5</v>
      </c>
      <c r="F4" s="19" t="s">
        <v>6</v>
      </c>
      <c r="G4" s="19" t="s">
        <v>7</v>
      </c>
    </row>
    <row r="5" spans="1:7">
      <c r="B5" s="37">
        <v>1000000</v>
      </c>
      <c r="C5" s="129">
        <v>0.05</v>
      </c>
      <c r="D5" s="267">
        <v>182</v>
      </c>
      <c r="E5" s="267">
        <v>360</v>
      </c>
      <c r="F5" s="44"/>
      <c r="G5" s="41"/>
    </row>
    <row r="6" spans="1:7">
      <c r="A6" s="22"/>
      <c r="C6" s="266"/>
      <c r="D6" s="43"/>
      <c r="E6" s="43"/>
    </row>
    <row r="7" spans="1:7">
      <c r="A7" s="22" t="s">
        <v>8</v>
      </c>
      <c r="B7" s="19" t="s">
        <v>2</v>
      </c>
      <c r="C7" s="42" t="s">
        <v>3</v>
      </c>
      <c r="D7" s="42" t="s">
        <v>9</v>
      </c>
      <c r="E7" s="42" t="s">
        <v>5</v>
      </c>
      <c r="G7" s="19" t="s">
        <v>7</v>
      </c>
    </row>
    <row r="8" spans="1:7">
      <c r="A8" s="264" t="s">
        <v>10</v>
      </c>
      <c r="B8" s="37">
        <v>1000000</v>
      </c>
      <c r="C8" s="129">
        <v>0.05</v>
      </c>
      <c r="D8" s="267">
        <v>3</v>
      </c>
      <c r="E8" s="267" t="s">
        <v>11</v>
      </c>
      <c r="F8" s="44"/>
      <c r="G8" s="41"/>
    </row>
    <row r="9" spans="1:7">
      <c r="A9" s="39" t="s">
        <v>12</v>
      </c>
      <c r="B9" s="37">
        <v>1000000</v>
      </c>
      <c r="C9" s="129">
        <v>0.05</v>
      </c>
      <c r="D9" s="267">
        <v>3</v>
      </c>
      <c r="E9" s="267" t="s">
        <v>11</v>
      </c>
      <c r="F9" s="2">
        <f>F8</f>
        <v>0</v>
      </c>
      <c r="G9" s="41"/>
    </row>
    <row r="10" spans="1:7">
      <c r="C10" s="43"/>
      <c r="D10" s="43"/>
      <c r="E10" s="43"/>
    </row>
    <row r="11" spans="1:7">
      <c r="A11" s="262" t="s">
        <v>13</v>
      </c>
      <c r="C11" s="43"/>
      <c r="D11" s="43"/>
      <c r="E11" s="43"/>
    </row>
    <row r="12" spans="1:7">
      <c r="A12" s="263"/>
      <c r="C12" s="43"/>
      <c r="D12" s="43"/>
      <c r="E12" s="43"/>
    </row>
    <row r="13" spans="1:7">
      <c r="A13" s="22" t="s">
        <v>1</v>
      </c>
      <c r="B13" s="19" t="s">
        <v>2</v>
      </c>
      <c r="C13" s="42" t="s">
        <v>3</v>
      </c>
      <c r="D13" s="42" t="s">
        <v>4</v>
      </c>
      <c r="E13" s="42" t="s">
        <v>5</v>
      </c>
      <c r="F13" s="19" t="s">
        <v>14</v>
      </c>
      <c r="G13" s="19" t="s">
        <v>7</v>
      </c>
    </row>
    <row r="14" spans="1:7">
      <c r="B14" s="41">
        <f>G14/(1+C14*D14/E14)</f>
        <v>1000000</v>
      </c>
      <c r="C14" s="129">
        <v>0.05</v>
      </c>
      <c r="D14" s="267">
        <v>182</v>
      </c>
      <c r="E14" s="267">
        <v>360</v>
      </c>
      <c r="F14" s="44"/>
      <c r="G14" s="265">
        <v>1025277.7777777778</v>
      </c>
    </row>
    <row r="15" spans="1:7">
      <c r="A15" s="22" t="s">
        <v>15</v>
      </c>
      <c r="B15" s="265">
        <v>1000000</v>
      </c>
      <c r="C15" s="287">
        <f>((G15/B15)-1)*(E15/D15)</f>
        <v>5.0694444444444355E-2</v>
      </c>
      <c r="D15" s="267">
        <v>182</v>
      </c>
      <c r="E15" s="267">
        <v>365</v>
      </c>
      <c r="F15" s="2">
        <f>F14</f>
        <v>0</v>
      </c>
      <c r="G15" s="265">
        <f>G14</f>
        <v>1025277.7777777778</v>
      </c>
    </row>
    <row r="16" spans="1:7">
      <c r="A16" s="22"/>
      <c r="C16" s="266"/>
      <c r="D16" s="43"/>
      <c r="E16" s="43"/>
    </row>
    <row r="17" spans="1:7">
      <c r="A17" s="22" t="s">
        <v>8</v>
      </c>
      <c r="B17" s="19" t="s">
        <v>2</v>
      </c>
      <c r="C17" s="42" t="s">
        <v>3</v>
      </c>
      <c r="D17" s="42" t="s">
        <v>9</v>
      </c>
      <c r="E17" s="42" t="s">
        <v>5</v>
      </c>
      <c r="F17" s="19" t="s">
        <v>14</v>
      </c>
      <c r="G17" s="19" t="s">
        <v>7</v>
      </c>
    </row>
    <row r="18" spans="1:7">
      <c r="A18" s="264" t="s">
        <v>10</v>
      </c>
      <c r="B18" s="41">
        <f>G18/(1+C18)^D18</f>
        <v>1000000.0000000001</v>
      </c>
      <c r="C18" s="129">
        <v>0.05</v>
      </c>
      <c r="D18" s="267">
        <v>3</v>
      </c>
      <c r="E18" s="267" t="s">
        <v>11</v>
      </c>
      <c r="F18" s="40"/>
      <c r="G18" s="265">
        <v>1157625.0000000002</v>
      </c>
    </row>
    <row r="19" spans="1:7">
      <c r="A19" s="39" t="s">
        <v>16</v>
      </c>
      <c r="B19" s="41">
        <f>-PV(C19,D19,0,G19)</f>
        <v>1000000.0000000001</v>
      </c>
      <c r="C19" s="9">
        <v>0.05</v>
      </c>
      <c r="D19" s="4">
        <v>3</v>
      </c>
      <c r="E19" s="4" t="s">
        <v>11</v>
      </c>
      <c r="F19">
        <f>F18</f>
        <v>0</v>
      </c>
      <c r="G19" s="265">
        <v>1157625.0000000002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13DAA-867B-4A1E-A01A-A4209429F3DE}">
  <sheetPr>
    <tabColor rgb="FFFFFF00"/>
  </sheetPr>
  <dimension ref="B2:T28"/>
  <sheetViews>
    <sheetView zoomScale="55" zoomScaleNormal="55" workbookViewId="0">
      <selection activeCell="G22" sqref="G22:G28"/>
    </sheetView>
  </sheetViews>
  <sheetFormatPr defaultRowHeight="26.25"/>
  <cols>
    <col min="1" max="2" width="9.06640625" style="76"/>
    <col min="3" max="3" width="16.796875" style="76" bestFit="1" customWidth="1"/>
    <col min="4" max="4" width="14.796875" style="76" bestFit="1" customWidth="1"/>
    <col min="5" max="5" width="9.06640625" style="76"/>
    <col min="6" max="6" width="14.6640625" style="76" customWidth="1"/>
    <col min="7" max="7" width="11.73046875" style="76" customWidth="1"/>
    <col min="8" max="8" width="13.3984375" style="76" bestFit="1" customWidth="1"/>
    <col min="9" max="9" width="13.73046875" style="76" customWidth="1"/>
    <col min="10" max="10" width="14.33203125" style="76" customWidth="1"/>
    <col min="11" max="15" width="12.53125" style="76" bestFit="1" customWidth="1"/>
    <col min="16" max="16384" width="9.06640625" style="76"/>
  </cols>
  <sheetData>
    <row r="2" spans="2:20">
      <c r="F2" s="77" t="s">
        <v>138</v>
      </c>
      <c r="G2" s="78">
        <v>10</v>
      </c>
      <c r="H2" s="79">
        <v>7</v>
      </c>
      <c r="I2" s="79">
        <v>5</v>
      </c>
      <c r="J2" s="79">
        <v>3</v>
      </c>
      <c r="K2" s="284">
        <v>2</v>
      </c>
      <c r="L2" s="79">
        <v>1</v>
      </c>
    </row>
    <row r="3" spans="2:20">
      <c r="D3" s="76" t="s">
        <v>139</v>
      </c>
      <c r="F3" s="80" t="s">
        <v>99</v>
      </c>
      <c r="G3" s="81">
        <v>0.05</v>
      </c>
      <c r="H3" s="82">
        <v>4.8750000000000002E-2</v>
      </c>
      <c r="I3" s="82">
        <v>4.7500000000000001E-2</v>
      </c>
      <c r="J3" s="82">
        <v>4.4999999999999998E-2</v>
      </c>
      <c r="K3" s="285">
        <f>'Bond valn using zeros'!G35/100</f>
        <v>3.7499999999999999E-2</v>
      </c>
      <c r="L3" s="82">
        <v>5.2499999999999998E-2</v>
      </c>
      <c r="N3" s="83" t="s">
        <v>140</v>
      </c>
    </row>
    <row r="4" spans="2:20" ht="52.5">
      <c r="B4" s="84" t="s">
        <v>48</v>
      </c>
      <c r="C4" s="85" t="s">
        <v>141</v>
      </c>
      <c r="D4" s="86" t="s">
        <v>142</v>
      </c>
      <c r="E4" s="84" t="s">
        <v>143</v>
      </c>
      <c r="F4" s="84" t="s">
        <v>144</v>
      </c>
      <c r="G4" s="137" t="s">
        <v>145</v>
      </c>
      <c r="H4" s="138" t="s">
        <v>145</v>
      </c>
      <c r="I4" s="138" t="s">
        <v>145</v>
      </c>
      <c r="J4" s="138" t="s">
        <v>145</v>
      </c>
      <c r="K4" s="286" t="s">
        <v>145</v>
      </c>
      <c r="L4" s="138" t="s">
        <v>145</v>
      </c>
      <c r="M4" s="87"/>
      <c r="N4" s="88" t="s">
        <v>48</v>
      </c>
      <c r="O4" s="89">
        <f t="shared" ref="O4:T4" si="0">G2</f>
        <v>10</v>
      </c>
      <c r="P4" s="89">
        <f t="shared" si="0"/>
        <v>7</v>
      </c>
      <c r="Q4" s="89">
        <f t="shared" si="0"/>
        <v>5</v>
      </c>
      <c r="R4" s="89">
        <f t="shared" si="0"/>
        <v>3</v>
      </c>
      <c r="S4" s="89">
        <f t="shared" si="0"/>
        <v>2</v>
      </c>
      <c r="T4" s="89">
        <f t="shared" si="0"/>
        <v>1</v>
      </c>
    </row>
    <row r="5" spans="2:20" ht="28.5">
      <c r="B5" s="90">
        <v>1</v>
      </c>
      <c r="C5" s="283">
        <f>'Your &amp; cons term structure'!L8</f>
        <v>4.4259482289524636E-2</v>
      </c>
      <c r="D5" s="92">
        <f>'Bond valn using zeros'!E35</f>
        <v>-5.0000000000000001E-4</v>
      </c>
      <c r="E5" s="93">
        <f>C5-D5</f>
        <v>4.4759482289524637E-2</v>
      </c>
      <c r="F5" s="94">
        <f>1/(1+E5)^(B5)</f>
        <v>0.95715809901869764</v>
      </c>
      <c r="G5" s="139">
        <f>IF($B5&lt;G$2,G$3*100,100+(G$3*100))</f>
        <v>5</v>
      </c>
      <c r="H5" s="79">
        <f>IF($B5&lt;H$2,H$3*100,100+(H$3*100))</f>
        <v>4.875</v>
      </c>
      <c r="I5" s="79">
        <f t="shared" ref="I5:L9" si="1">IF($B5&lt;I$2,I$3*100,100+(I$3*100))</f>
        <v>4.75</v>
      </c>
      <c r="J5" s="79">
        <f t="shared" si="1"/>
        <v>4.5</v>
      </c>
      <c r="K5" s="284">
        <f t="shared" si="1"/>
        <v>3.75</v>
      </c>
      <c r="L5" s="79">
        <f t="shared" si="1"/>
        <v>105.25</v>
      </c>
      <c r="M5" s="95"/>
      <c r="N5" s="96">
        <f t="shared" ref="N5:N14" si="2">B5</f>
        <v>1</v>
      </c>
      <c r="O5" s="76">
        <f>IF(O$4=$B5,1/(1+$E5+0.01%)^$B5,$F5)</f>
        <v>0.95715809901869764</v>
      </c>
      <c r="P5" s="76">
        <f t="shared" ref="O5:T14" si="3">IF(P$4=$B5,1/(1+$E5+0.01%)^$B5,$F5)</f>
        <v>0.95715809901869764</v>
      </c>
      <c r="Q5" s="76">
        <f t="shared" si="3"/>
        <v>0.95715809901869764</v>
      </c>
      <c r="R5" s="76">
        <f t="shared" si="3"/>
        <v>0.95715809901869764</v>
      </c>
      <c r="S5" s="76">
        <f t="shared" si="3"/>
        <v>0.95715809901869764</v>
      </c>
      <c r="T5" s="97">
        <f t="shared" si="3"/>
        <v>0.95706649262422616</v>
      </c>
    </row>
    <row r="6" spans="2:20" ht="28.5">
      <c r="B6" s="90">
        <v>2</v>
      </c>
      <c r="C6" s="283">
        <f>'Your &amp; cons term structure'!L9</f>
        <v>4.5180834547453412E-2</v>
      </c>
      <c r="D6" s="92">
        <f>'Bond valn using zeros'!E36</f>
        <v>-5.0000000000000001E-4</v>
      </c>
      <c r="E6" s="93">
        <f t="shared" ref="E6:E13" si="4">C6-D6</f>
        <v>4.5680834547453412E-2</v>
      </c>
      <c r="F6" s="94">
        <f t="shared" ref="F6:F14" si="5">1/(1+E6)^(B6)</f>
        <v>0.91453789033081589</v>
      </c>
      <c r="G6" s="139">
        <f t="shared" ref="G6:H14" si="6">IF($B6&lt;G$2,G$3*100,100+(G$3*100))</f>
        <v>5</v>
      </c>
      <c r="H6" s="79">
        <f>IF($B6&lt;H$2,H$3*100,100+(H$3*100))</f>
        <v>4.875</v>
      </c>
      <c r="I6" s="79">
        <f t="shared" si="1"/>
        <v>4.75</v>
      </c>
      <c r="J6" s="79">
        <f t="shared" si="1"/>
        <v>4.5</v>
      </c>
      <c r="K6" s="284">
        <f t="shared" si="1"/>
        <v>103.75</v>
      </c>
      <c r="L6" s="139"/>
      <c r="M6" s="95"/>
      <c r="N6" s="96">
        <f t="shared" si="2"/>
        <v>2</v>
      </c>
      <c r="O6" s="76">
        <f t="shared" si="3"/>
        <v>0.91453789033081589</v>
      </c>
      <c r="P6" s="76">
        <f t="shared" si="3"/>
        <v>0.91453789033081589</v>
      </c>
      <c r="Q6" s="76">
        <f t="shared" si="3"/>
        <v>0.91453789033081589</v>
      </c>
      <c r="R6" s="76">
        <f t="shared" si="3"/>
        <v>0.91453789033081589</v>
      </c>
      <c r="S6" s="97">
        <f t="shared" si="3"/>
        <v>0.91436299820523892</v>
      </c>
      <c r="T6" s="76">
        <f t="shared" si="3"/>
        <v>0.91453789033081589</v>
      </c>
    </row>
    <row r="7" spans="2:20" ht="28.5">
      <c r="B7" s="90">
        <v>3</v>
      </c>
      <c r="C7" s="99">
        <f>C6+(C6-C5)</f>
        <v>4.6102186805382188E-2</v>
      </c>
      <c r="D7" s="92">
        <v>-2.9999999999999997E-4</v>
      </c>
      <c r="E7" s="93">
        <f t="shared" si="4"/>
        <v>4.640218680538219E-2</v>
      </c>
      <c r="F7" s="94">
        <f t="shared" si="5"/>
        <v>0.87277859030105909</v>
      </c>
      <c r="G7" s="139">
        <f t="shared" si="6"/>
        <v>5</v>
      </c>
      <c r="H7" s="79">
        <f>IF($B7&lt;H$2,H$3*100,100+(H$3*100))</f>
        <v>4.875</v>
      </c>
      <c r="I7" s="79">
        <f t="shared" si="1"/>
        <v>4.75</v>
      </c>
      <c r="J7" s="79">
        <f t="shared" si="1"/>
        <v>104.5</v>
      </c>
      <c r="K7" s="139"/>
      <c r="L7" s="139"/>
      <c r="M7" s="95"/>
      <c r="N7" s="96">
        <f t="shared" si="2"/>
        <v>3</v>
      </c>
      <c r="O7" s="76">
        <f t="shared" si="3"/>
        <v>0.87277859030105909</v>
      </c>
      <c r="P7" s="76">
        <f t="shared" si="3"/>
        <v>0.87277859030105909</v>
      </c>
      <c r="Q7" s="76">
        <f t="shared" si="3"/>
        <v>0.87277859030105909</v>
      </c>
      <c r="R7" s="97">
        <f t="shared" si="3"/>
        <v>0.87252841542200987</v>
      </c>
      <c r="S7" s="76">
        <f t="shared" si="3"/>
        <v>0.87277859030105909</v>
      </c>
      <c r="T7" s="76">
        <f t="shared" si="3"/>
        <v>0.87277859030105909</v>
      </c>
    </row>
    <row r="8" spans="2:20" ht="28.5">
      <c r="B8" s="90">
        <v>4</v>
      </c>
      <c r="C8" s="99">
        <f t="shared" ref="C8:C9" si="7">C7+(C7-C6)</f>
        <v>4.7023539063310964E-2</v>
      </c>
      <c r="D8" s="98">
        <f>D7+($D$9-$D$7)*(B8-B7)/($B$9-$B$7)</f>
        <v>-8.9999999999999998E-4</v>
      </c>
      <c r="E8" s="93">
        <f t="shared" si="4"/>
        <v>4.7923539063310962E-2</v>
      </c>
      <c r="F8" s="94">
        <f t="shared" si="5"/>
        <v>0.82924262289405237</v>
      </c>
      <c r="G8" s="139">
        <f t="shared" si="6"/>
        <v>5</v>
      </c>
      <c r="H8" s="79">
        <f>IF($B8&lt;H$2,H$3*100,100+(H$3*100))</f>
        <v>4.875</v>
      </c>
      <c r="I8" s="79">
        <f t="shared" si="1"/>
        <v>4.75</v>
      </c>
      <c r="J8" s="139"/>
      <c r="K8" s="139"/>
      <c r="L8" s="139"/>
      <c r="M8" s="95"/>
      <c r="N8" s="96">
        <f t="shared" si="2"/>
        <v>4</v>
      </c>
      <c r="O8" s="76">
        <f t="shared" si="3"/>
        <v>0.82924262289405237</v>
      </c>
      <c r="P8" s="76">
        <f t="shared" si="3"/>
        <v>0.82924262289405237</v>
      </c>
      <c r="Q8" s="76">
        <f t="shared" si="3"/>
        <v>0.82924262289405237</v>
      </c>
      <c r="R8" s="76">
        <f t="shared" si="3"/>
        <v>0.82924262289405237</v>
      </c>
      <c r="S8" s="76">
        <f t="shared" si="3"/>
        <v>0.82924262289405237</v>
      </c>
      <c r="T8" s="76">
        <f t="shared" si="3"/>
        <v>0.82924262289405237</v>
      </c>
    </row>
    <row r="9" spans="2:20" ht="28.5">
      <c r="B9" s="90">
        <v>5</v>
      </c>
      <c r="C9" s="99">
        <f t="shared" si="7"/>
        <v>4.794489132123974E-2</v>
      </c>
      <c r="D9" s="92">
        <v>-1.5E-3</v>
      </c>
      <c r="E9" s="93">
        <f t="shared" si="4"/>
        <v>4.9444891321239741E-2</v>
      </c>
      <c r="F9" s="94">
        <f t="shared" si="5"/>
        <v>0.785600608639761</v>
      </c>
      <c r="G9" s="139">
        <f t="shared" si="6"/>
        <v>5</v>
      </c>
      <c r="H9" s="79">
        <f t="shared" si="6"/>
        <v>4.875</v>
      </c>
      <c r="I9" s="79">
        <f t="shared" si="1"/>
        <v>104.75</v>
      </c>
      <c r="J9" s="139"/>
      <c r="K9" s="139"/>
      <c r="L9" s="139"/>
      <c r="M9" s="95"/>
      <c r="N9" s="96">
        <f t="shared" si="2"/>
        <v>5</v>
      </c>
      <c r="O9" s="76">
        <f t="shared" si="3"/>
        <v>0.785600608639761</v>
      </c>
      <c r="P9" s="76">
        <f t="shared" si="3"/>
        <v>0.785600608639761</v>
      </c>
      <c r="Q9" s="97">
        <f t="shared" si="3"/>
        <v>0.78522642220605099</v>
      </c>
      <c r="R9" s="76">
        <f t="shared" si="3"/>
        <v>0.785600608639761</v>
      </c>
      <c r="S9" s="76">
        <f t="shared" si="3"/>
        <v>0.785600608639761</v>
      </c>
      <c r="T9" s="76">
        <f t="shared" si="3"/>
        <v>0.785600608639761</v>
      </c>
    </row>
    <row r="10" spans="2:20" ht="28.5">
      <c r="B10" s="90">
        <v>6</v>
      </c>
      <c r="C10" s="99">
        <f>C9+(C9-C8)</f>
        <v>4.8866243579168515E-2</v>
      </c>
      <c r="D10" s="98">
        <f>D11+($D$11-$D$9)*(B10-B11)/($B$11-$B$9)</f>
        <v>-1.8E-3</v>
      </c>
      <c r="E10" s="93">
        <f t="shared" si="4"/>
        <v>5.0666243579168518E-2</v>
      </c>
      <c r="F10" s="94">
        <f t="shared" si="5"/>
        <v>0.74338077389004176</v>
      </c>
      <c r="G10" s="139">
        <f t="shared" si="6"/>
        <v>5</v>
      </c>
      <c r="H10" s="79">
        <f t="shared" si="6"/>
        <v>4.875</v>
      </c>
      <c r="I10" s="139"/>
      <c r="J10" s="139"/>
      <c r="K10" s="139"/>
      <c r="L10" s="139"/>
      <c r="M10" s="95"/>
      <c r="N10" s="96">
        <f t="shared" si="2"/>
        <v>6</v>
      </c>
      <c r="O10" s="76">
        <f t="shared" si="3"/>
        <v>0.74338077389004176</v>
      </c>
      <c r="P10" s="76">
        <f t="shared" si="3"/>
        <v>0.74338077389004176</v>
      </c>
      <c r="Q10" s="76">
        <f t="shared" si="3"/>
        <v>0.74338077389004176</v>
      </c>
      <c r="R10" s="76">
        <f t="shared" si="3"/>
        <v>0.74338077389004176</v>
      </c>
      <c r="S10" s="76">
        <f t="shared" si="3"/>
        <v>0.74338077389004176</v>
      </c>
      <c r="T10" s="76">
        <f t="shared" si="3"/>
        <v>0.74338077389004176</v>
      </c>
    </row>
    <row r="11" spans="2:20" ht="28.5">
      <c r="B11" s="90">
        <v>7</v>
      </c>
      <c r="C11" s="99">
        <f>C10+(C10-C9)</f>
        <v>4.9787595837097291E-2</v>
      </c>
      <c r="D11" s="100">
        <v>-2.0999999999999999E-3</v>
      </c>
      <c r="E11" s="93">
        <f t="shared" si="4"/>
        <v>5.1887595837097289E-2</v>
      </c>
      <c r="F11" s="94">
        <f t="shared" si="5"/>
        <v>0.7018020998099308</v>
      </c>
      <c r="G11" s="139">
        <f t="shared" si="6"/>
        <v>5</v>
      </c>
      <c r="H11" s="79">
        <f t="shared" si="6"/>
        <v>104.875</v>
      </c>
      <c r="I11" s="139"/>
      <c r="J11" s="139"/>
      <c r="K11" s="139"/>
      <c r="L11" s="139"/>
      <c r="M11" s="95"/>
      <c r="N11" s="96">
        <f t="shared" si="2"/>
        <v>7</v>
      </c>
      <c r="O11" s="76">
        <f t="shared" si="3"/>
        <v>0.7018020998099308</v>
      </c>
      <c r="P11" s="97">
        <f t="shared" si="3"/>
        <v>0.7013352488710255</v>
      </c>
      <c r="Q11" s="76">
        <f t="shared" si="3"/>
        <v>0.7018020998099308</v>
      </c>
      <c r="R11" s="76">
        <f t="shared" si="3"/>
        <v>0.7018020998099308</v>
      </c>
      <c r="S11" s="76">
        <f t="shared" si="3"/>
        <v>0.7018020998099308</v>
      </c>
      <c r="T11" s="76">
        <f t="shared" si="3"/>
        <v>0.7018020998099308</v>
      </c>
    </row>
    <row r="12" spans="2:20" ht="28.5">
      <c r="B12" s="90">
        <v>8</v>
      </c>
      <c r="C12" s="99">
        <f>C11-(C11-C10)</f>
        <v>4.8866243579168515E-2</v>
      </c>
      <c r="D12" s="98">
        <f>D14+($D$14-$D$11)*(B12-B14)/($B$14-$B$11)</f>
        <v>-2.0333333333333332E-3</v>
      </c>
      <c r="E12" s="93">
        <f t="shared" si="4"/>
        <v>5.0899576912501847E-2</v>
      </c>
      <c r="F12" s="94">
        <f t="shared" si="5"/>
        <v>0.67221819356749335</v>
      </c>
      <c r="G12" s="139">
        <f t="shared" si="6"/>
        <v>5</v>
      </c>
      <c r="H12" s="139"/>
      <c r="I12" s="139"/>
      <c r="J12" s="139"/>
      <c r="K12" s="139"/>
      <c r="L12" s="139"/>
      <c r="M12" s="95"/>
      <c r="N12" s="96">
        <f t="shared" si="2"/>
        <v>8</v>
      </c>
      <c r="O12" s="76">
        <f t="shared" si="3"/>
        <v>0.67221819356749335</v>
      </c>
      <c r="P12" s="76">
        <f t="shared" si="3"/>
        <v>0.67221819356749335</v>
      </c>
      <c r="Q12" s="76">
        <f t="shared" si="3"/>
        <v>0.67221819356749335</v>
      </c>
      <c r="R12" s="76">
        <f t="shared" si="3"/>
        <v>0.67221819356749335</v>
      </c>
      <c r="S12" s="76">
        <f t="shared" si="3"/>
        <v>0.67221819356749335</v>
      </c>
      <c r="T12" s="76">
        <f t="shared" si="3"/>
        <v>0.67221819356749335</v>
      </c>
    </row>
    <row r="13" spans="2:20" ht="28.5">
      <c r="B13" s="90">
        <v>9</v>
      </c>
      <c r="C13" s="99">
        <f t="shared" ref="C13:C14" si="8">C12+(C12-C11)</f>
        <v>4.794489132123974E-2</v>
      </c>
      <c r="D13" s="98">
        <f>D14+($D$14-$D$11)*(B13-B14)/($B$14-$B$11)</f>
        <v>-1.9666666666666665E-3</v>
      </c>
      <c r="E13" s="93">
        <f t="shared" si="4"/>
        <v>4.9911557987906405E-2</v>
      </c>
      <c r="F13" s="94">
        <f t="shared" si="5"/>
        <v>0.64509778359290793</v>
      </c>
      <c r="G13" s="139">
        <f t="shared" si="6"/>
        <v>5</v>
      </c>
      <c r="H13" s="139"/>
      <c r="I13" s="139"/>
      <c r="J13" s="139"/>
      <c r="K13" s="139"/>
      <c r="L13" s="139"/>
      <c r="M13" s="95"/>
      <c r="N13" s="96">
        <f t="shared" si="2"/>
        <v>9</v>
      </c>
      <c r="O13" s="76">
        <f t="shared" si="3"/>
        <v>0.64509778359290793</v>
      </c>
      <c r="P13" s="76">
        <f t="shared" si="3"/>
        <v>0.64509778359290793</v>
      </c>
      <c r="Q13" s="76">
        <f t="shared" si="3"/>
        <v>0.64509778359290793</v>
      </c>
      <c r="R13" s="76">
        <f t="shared" si="3"/>
        <v>0.64509778359290793</v>
      </c>
      <c r="S13" s="76">
        <f t="shared" si="3"/>
        <v>0.64509778359290793</v>
      </c>
      <c r="T13" s="76">
        <f t="shared" si="3"/>
        <v>0.64509778359290793</v>
      </c>
    </row>
    <row r="14" spans="2:20" ht="28.5">
      <c r="B14" s="101">
        <v>10</v>
      </c>
      <c r="C14" s="102">
        <f t="shared" si="8"/>
        <v>4.7023539063310964E-2</v>
      </c>
      <c r="D14" s="103">
        <v>-1.9E-3</v>
      </c>
      <c r="E14" s="104">
        <f>C14-D14</f>
        <v>4.8923539063310963E-2</v>
      </c>
      <c r="F14" s="105">
        <f t="shared" si="5"/>
        <v>0.62024273221086312</v>
      </c>
      <c r="G14" s="140">
        <f t="shared" si="6"/>
        <v>105</v>
      </c>
      <c r="H14" s="140"/>
      <c r="I14" s="140"/>
      <c r="J14" s="140"/>
      <c r="K14" s="140"/>
      <c r="L14" s="140"/>
      <c r="M14" s="95"/>
      <c r="N14" s="96">
        <f t="shared" si="2"/>
        <v>10</v>
      </c>
      <c r="O14" s="97">
        <f t="shared" si="3"/>
        <v>0.61965172856699535</v>
      </c>
      <c r="P14" s="76">
        <f t="shared" si="3"/>
        <v>0.62024273221086312</v>
      </c>
      <c r="Q14" s="76">
        <f t="shared" si="3"/>
        <v>0.62024273221086312</v>
      </c>
      <c r="R14" s="76">
        <f t="shared" si="3"/>
        <v>0.62024273221086312</v>
      </c>
      <c r="S14" s="76">
        <f t="shared" si="3"/>
        <v>0.62024273221086312</v>
      </c>
      <c r="T14" s="76">
        <f t="shared" si="3"/>
        <v>0.62024273221086312</v>
      </c>
    </row>
    <row r="15" spans="2:20">
      <c r="B15" s="106"/>
      <c r="C15" s="106"/>
      <c r="D15" s="106"/>
      <c r="E15" s="106"/>
      <c r="F15" s="77" t="s">
        <v>146</v>
      </c>
      <c r="G15" s="141">
        <f>SUMPRODUCT(G5:G14,$F5:$F14)</f>
        <v>100.73457019236444</v>
      </c>
      <c r="H15" s="141">
        <f>SUMPRODUCT(H5:H14,$F5:$F14)</f>
        <v>98.477150819804336</v>
      </c>
      <c r="I15" s="141">
        <f t="shared" ref="I15:L15" si="9">SUMPRODUCT(I5:I14,$F5:$F14)</f>
        <v>99.266820467101937</v>
      </c>
      <c r="J15" s="141">
        <f t="shared" si="9"/>
        <v>99.62799463853348</v>
      </c>
      <c r="K15" s="141">
        <f>SUMPRODUCT(K5:K14,$F5:$F14)</f>
        <v>98.472648993142258</v>
      </c>
      <c r="L15" s="141">
        <f t="shared" si="9"/>
        <v>100.74088992171792</v>
      </c>
    </row>
    <row r="16" spans="2:20">
      <c r="F16" s="77" t="s">
        <v>147</v>
      </c>
      <c r="G16" s="142">
        <f>RATE(G2,G3*100,-G15,100)</f>
        <v>4.9053067678287342E-2</v>
      </c>
      <c r="H16" s="142">
        <f t="shared" ref="H16:L16" si="10">RATE(H2,H3*100,-H15,100)</f>
        <v>5.1395106782155864E-2</v>
      </c>
      <c r="I16" s="142">
        <f t="shared" si="10"/>
        <v>4.9189668369589511E-2</v>
      </c>
      <c r="J16" s="142">
        <f>RATE(J2,J3*100,-J15,100)</f>
        <v>4.6356720141424397E-2</v>
      </c>
      <c r="K16" s="142">
        <f>RATE(K2,K3*100,-K15,100)</f>
        <v>4.5663731259742914E-2</v>
      </c>
      <c r="L16" s="142">
        <f t="shared" si="10"/>
        <v>4.4759482289524644E-2</v>
      </c>
    </row>
    <row r="17" spans="2:15">
      <c r="F17" s="77" t="s">
        <v>132</v>
      </c>
      <c r="G17" s="143">
        <f>G15+PV(G16+0.01%,G2,G3*100,100)</f>
        <v>7.7893360688520374E-2</v>
      </c>
      <c r="H17" s="143">
        <f t="shared" ref="H17:L17" si="11">H15+PV(H16+0.01%,H2,H3*100,100)</f>
        <v>5.7001279043504383E-2</v>
      </c>
      <c r="I17" s="143">
        <f t="shared" si="11"/>
        <v>4.3177018418646185E-2</v>
      </c>
      <c r="J17" s="143">
        <f t="shared" si="11"/>
        <v>2.7344280694492795E-2</v>
      </c>
      <c r="K17" s="143">
        <f t="shared" si="11"/>
        <v>1.8488878577159085E-2</v>
      </c>
      <c r="L17" s="143">
        <f t="shared" si="11"/>
        <v>9.6415730181291792E-3</v>
      </c>
    </row>
    <row r="20" spans="2:15" ht="28.5">
      <c r="B20" s="107" t="s">
        <v>148</v>
      </c>
      <c r="C20" s="108">
        <v>100000000</v>
      </c>
      <c r="D20"/>
      <c r="E20"/>
      <c r="F20"/>
      <c r="G20"/>
      <c r="H20"/>
      <c r="J20" s="76" t="s">
        <v>149</v>
      </c>
    </row>
    <row r="21" spans="2:15" ht="78.75">
      <c r="B21" s="109" t="s">
        <v>150</v>
      </c>
      <c r="C21" s="109" t="s">
        <v>151</v>
      </c>
      <c r="D21" s="109" t="s">
        <v>152</v>
      </c>
      <c r="E21" s="109" t="s">
        <v>153</v>
      </c>
      <c r="F21" s="109" t="s">
        <v>154</v>
      </c>
      <c r="G21" s="109" t="s">
        <v>155</v>
      </c>
      <c r="H21" s="109" t="s">
        <v>156</v>
      </c>
      <c r="J21" s="109" t="s">
        <v>157</v>
      </c>
      <c r="K21" s="109" t="s">
        <v>158</v>
      </c>
      <c r="L21" s="109" t="s">
        <v>159</v>
      </c>
      <c r="M21" s="109" t="s">
        <v>160</v>
      </c>
      <c r="N21" s="109" t="s">
        <v>161</v>
      </c>
      <c r="O21" s="109" t="s">
        <v>162</v>
      </c>
    </row>
    <row r="22" spans="2:15" ht="28.5">
      <c r="B22">
        <v>10</v>
      </c>
      <c r="C22" s="110">
        <v>5000000</v>
      </c>
      <c r="D22" s="38">
        <f>C22*HLOOKUP(B22,$G$2:$L$15,14,0)/100</f>
        <v>5036728.5096182218</v>
      </c>
      <c r="E22" s="64">
        <f>C22/$C$20</f>
        <v>0.05</v>
      </c>
      <c r="F22" s="35">
        <f>HLOOKUP(B22,$G$2:$L$17,16,0)</f>
        <v>7.7893360688520374E-2</v>
      </c>
      <c r="G22" s="63"/>
      <c r="H22" s="110">
        <f>C22*(HLOOKUP(B22,$G$2:$L$17,14,0)-HLOOKUP(B22,$G$2:$L$17,16,0))/100</f>
        <v>5032833.8415837958</v>
      </c>
      <c r="J22" s="111">
        <f>$C22*SUMPRODUCT(G5:G14,$O$5:$O$14)/100</f>
        <v>5033625.7404879164</v>
      </c>
      <c r="K22" s="111">
        <f>$C22*SUMPRODUCT(G5:G14,$P$5:$P$14)/100</f>
        <v>5036611.7968834955</v>
      </c>
      <c r="L22" s="111">
        <f>$C22*SUMPRODUCT(G5:G14,$Q$5:$Q$14)/100</f>
        <v>5036634.9630097942</v>
      </c>
      <c r="M22" s="111">
        <f>$C22*SUMPRODUCT(G5:G14,$R$5:$R$14)/100</f>
        <v>5036665.9658984598</v>
      </c>
      <c r="N22" s="111">
        <f>$C22*SUMPRODUCT(G5:G14,$S$5:$S$14)/100</f>
        <v>5036684.7865868285</v>
      </c>
      <c r="O22" s="111">
        <f>$C22*SUMPRODUCT(G5:G14,$T$5:$T$14)/100</f>
        <v>5036705.6080196043</v>
      </c>
    </row>
    <row r="23" spans="2:15" ht="28.5">
      <c r="B23">
        <v>7</v>
      </c>
      <c r="C23" s="110">
        <v>10000000</v>
      </c>
      <c r="D23" s="38">
        <f t="shared" ref="D23:D27" si="12">C23*HLOOKUP(B23,$G$2:$L$15,14,0)/100</f>
        <v>9847715.0819804333</v>
      </c>
      <c r="E23" s="64">
        <f t="shared" ref="E23:E27" si="13">C23/$C$20</f>
        <v>0.1</v>
      </c>
      <c r="F23" s="35">
        <f t="shared" ref="F23:F27" si="14">HLOOKUP(B23,$G$2:$L$17,16,0)</f>
        <v>5.7001279043504383E-2</v>
      </c>
      <c r="G23" s="63"/>
      <c r="H23" s="110">
        <f t="shared" ref="H23:H27" si="15">C23*(HLOOKUP(B23,$G$2:$L$17,14,0)-HLOOKUP(B23,$G$2:$L$17,16,0))/100</f>
        <v>9842014.9540760834</v>
      </c>
      <c r="J23" s="111">
        <f>$C23*SUMPRODUCT(H5:H14,$O$5:$O$14)/100</f>
        <v>9847715.0819804333</v>
      </c>
      <c r="K23" s="111">
        <f>$C23*SUMPRODUCT(H5:H14,$P$5:$P$14)/100</f>
        <v>9842818.9827586636</v>
      </c>
      <c r="L23" s="111">
        <f>$C23*SUMPRODUCT(H5:H14,$Q$5:$Q$14)/100</f>
        <v>9847532.6660939995</v>
      </c>
      <c r="M23" s="111">
        <f>$C23*SUMPRODUCT(H5:H14,$R$5:$R$14)/100</f>
        <v>9847593.1217268966</v>
      </c>
      <c r="N23" s="111">
        <f>$C23*SUMPRODUCT(H5:H14,$S$5:$S$14)/100</f>
        <v>9847629.8220692147</v>
      </c>
      <c r="O23" s="111">
        <f>$C23*SUMPRODUCT(H5:H14,$T$5:$T$14)/100</f>
        <v>9847670.4238631278</v>
      </c>
    </row>
    <row r="24" spans="2:15" ht="28.5">
      <c r="B24">
        <v>5</v>
      </c>
      <c r="C24" s="110">
        <v>15000000</v>
      </c>
      <c r="D24" s="38">
        <f t="shared" si="12"/>
        <v>14890023.070065292</v>
      </c>
      <c r="E24" s="64">
        <f t="shared" si="13"/>
        <v>0.15</v>
      </c>
      <c r="F24" s="35">
        <f t="shared" si="14"/>
        <v>4.3177018418646185E-2</v>
      </c>
      <c r="G24" s="63"/>
      <c r="H24" s="110">
        <f t="shared" si="15"/>
        <v>14883546.517302494</v>
      </c>
      <c r="J24" s="111">
        <f>$C24*SUMPRODUCT(I5:I14,$O$5:$O$14)/100</f>
        <v>14890023.070065292</v>
      </c>
      <c r="K24" s="111">
        <f>$C24*SUMPRODUCT(I5:I14,$P$5:$P$14)/100</f>
        <v>14890023.070065292</v>
      </c>
      <c r="L24" s="111">
        <f>$C24*SUMPRODUCT(I5:I14,$Q$5:$Q$14)/100</f>
        <v>14884143.665725622</v>
      </c>
      <c r="M24" s="111">
        <f>$C24*SUMPRODUCT(I5:I14,$R$5:$R$14)/100</f>
        <v>14889844.820463967</v>
      </c>
      <c r="N24" s="111">
        <f>$C24*SUMPRODUCT(I5:I14,$S$5:$S$14)/100</f>
        <v>14889898.459425814</v>
      </c>
      <c r="O24" s="111">
        <f>$C24*SUMPRODUCT(I5:I14,$T$5:$T$14)/100</f>
        <v>14889957.800509229</v>
      </c>
    </row>
    <row r="25" spans="2:15" ht="28.5">
      <c r="B25">
        <v>3</v>
      </c>
      <c r="C25" s="110">
        <v>20000000</v>
      </c>
      <c r="D25" s="38">
        <f t="shared" si="12"/>
        <v>19925598.927706696</v>
      </c>
      <c r="E25" s="64">
        <f t="shared" si="13"/>
        <v>0.2</v>
      </c>
      <c r="F25" s="35">
        <f t="shared" si="14"/>
        <v>2.7344280694492795E-2</v>
      </c>
      <c r="G25" s="63"/>
      <c r="H25" s="110">
        <f t="shared" si="15"/>
        <v>19920130.071567796</v>
      </c>
      <c r="J25" s="111">
        <f>$C25*SUMPRODUCT(J5:J14,$O$5:$O$14)/100</f>
        <v>19925598.927706696</v>
      </c>
      <c r="K25" s="111">
        <f>$C25*SUMPRODUCT(J5:J14,$P$5:$P$14)/100</f>
        <v>19925598.927706696</v>
      </c>
      <c r="L25" s="111">
        <f>$C25*SUMPRODUCT(J5:J14,$Q$5:$Q$14)/100</f>
        <v>19925598.927706696</v>
      </c>
      <c r="M25" s="111">
        <f>$C25*SUMPRODUCT(J5:J14,$R$5:$R$14)/100</f>
        <v>19920370.272734568</v>
      </c>
      <c r="N25" s="111">
        <f>$C25*SUMPRODUCT(J5:J14,$S$5:$S$14)/100</f>
        <v>19925441.524793677</v>
      </c>
      <c r="O25" s="111">
        <f>$C25*SUMPRODUCT(J5:J14,$T$5:$T$14)/100</f>
        <v>19925516.481951673</v>
      </c>
    </row>
    <row r="26" spans="2:15" ht="28.5">
      <c r="B26">
        <v>2</v>
      </c>
      <c r="C26" s="110">
        <v>25000000</v>
      </c>
      <c r="D26" s="38">
        <f t="shared" si="12"/>
        <v>24618162.248285566</v>
      </c>
      <c r="E26" s="64">
        <f t="shared" si="13"/>
        <v>0.25</v>
      </c>
      <c r="F26" s="35">
        <f t="shared" si="14"/>
        <v>1.8488878577159085E-2</v>
      </c>
      <c r="G26" s="63"/>
      <c r="H26" s="110">
        <f t="shared" si="15"/>
        <v>24613540.028641276</v>
      </c>
      <c r="J26" s="111">
        <f>$C26*SUMPRODUCT(K5:K14,$O$5:$O$14)/100</f>
        <v>24618162.248285566</v>
      </c>
      <c r="K26" s="111">
        <f>$C26*SUMPRODUCT(K5:K14,$P$5:$P$14)/100</f>
        <v>24618162.248285566</v>
      </c>
      <c r="L26" s="111">
        <f>$C26*SUMPRODUCT(K5:K14,$Q$5:$Q$14)/100</f>
        <v>24618162.248285566</v>
      </c>
      <c r="M26" s="111">
        <f>$C26*SUMPRODUCT(K5:K14,$R$5:$R$14)/100</f>
        <v>24618162.248285566</v>
      </c>
      <c r="N26" s="111">
        <f>$C26*SUMPRODUCT(K5:K14,$S$5:$S$14)/100</f>
        <v>24613625.983778413</v>
      </c>
      <c r="O26" s="111">
        <f>$C26*SUMPRODUCT(K5:K14,$T$5:$T$14)/100</f>
        <v>24618076.36729075</v>
      </c>
    </row>
    <row r="27" spans="2:15" ht="28.5">
      <c r="B27" s="48">
        <v>1</v>
      </c>
      <c r="C27" s="112">
        <v>25000000</v>
      </c>
      <c r="D27" s="113">
        <f t="shared" si="12"/>
        <v>25185222.480429482</v>
      </c>
      <c r="E27" s="114">
        <f t="shared" si="13"/>
        <v>0.25</v>
      </c>
      <c r="F27" s="115">
        <f t="shared" si="14"/>
        <v>9.6415730181291792E-3</v>
      </c>
      <c r="G27" s="72"/>
      <c r="H27" s="112">
        <f t="shared" si="15"/>
        <v>25182812.087174948</v>
      </c>
      <c r="J27" s="116">
        <f>$C27*SUMPRODUCT(L5:L14,$O$5:$O$14)/100</f>
        <v>25185222.480429482</v>
      </c>
      <c r="K27" s="116">
        <f>$C27*SUMPRODUCT(L5:L14,$P$5:$P$14)/100</f>
        <v>25185222.480429482</v>
      </c>
      <c r="L27" s="116">
        <f>$C27*SUMPRODUCT(L5:L14,$Q$5:$Q$14)/100</f>
        <v>25185222.480429482</v>
      </c>
      <c r="M27" s="116">
        <f>$C27*SUMPRODUCT(L5:L14,$R$5:$R$14)/100</f>
        <v>25185222.480429482</v>
      </c>
      <c r="N27" s="116">
        <f>$C27*SUMPRODUCT(L5:L14,$S$5:$S$14)/100</f>
        <v>25185222.480429482</v>
      </c>
      <c r="O27" s="116">
        <f>$C27*SUMPRODUCT(L5:L14,$T$5:$T$14)/100</f>
        <v>25182812.087174948</v>
      </c>
    </row>
    <row r="28" spans="2:15" ht="28.5">
      <c r="B28" s="117" t="s">
        <v>163</v>
      </c>
      <c r="C28" s="110">
        <f t="shared" ref="C28:D28" si="16">SUM(C22:C27)</f>
        <v>100000000</v>
      </c>
      <c r="D28" s="110">
        <f t="shared" si="16"/>
        <v>99503450.3180857</v>
      </c>
      <c r="E28" s="64">
        <f>SUM(E22:E27)</f>
        <v>1</v>
      </c>
      <c r="F28" s="118" t="s">
        <v>164</v>
      </c>
      <c r="G28" s="119"/>
      <c r="H28" s="38">
        <f>SUM(H22:H27)-D28</f>
        <v>-28572.81773930788</v>
      </c>
      <c r="I28" s="77" t="s">
        <v>165</v>
      </c>
      <c r="J28" s="111">
        <f>SUM(J22:J27)-$D$28</f>
        <v>-3102.7691303193569</v>
      </c>
      <c r="K28" s="111">
        <f t="shared" ref="K28:O28" si="17">SUM(K22:K27)-$D$28</f>
        <v>-5012.8119565099478</v>
      </c>
      <c r="L28" s="111">
        <f t="shared" si="17"/>
        <v>-6155.3668345361948</v>
      </c>
      <c r="M28" s="111">
        <f t="shared" si="17"/>
        <v>-5591.4085467606783</v>
      </c>
      <c r="N28" s="111">
        <f t="shared" si="17"/>
        <v>-4947.2610022723675</v>
      </c>
      <c r="O28" s="111">
        <f t="shared" si="17"/>
        <v>-2711.5492763668299</v>
      </c>
    </row>
  </sheetData>
  <conditionalFormatting sqref="J28:O28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CEB8B-F319-4520-8F88-3D0E9340F6C0}">
  <sheetPr>
    <tabColor rgb="FFFFFF00"/>
  </sheetPr>
  <dimension ref="A1:T38"/>
  <sheetViews>
    <sheetView topLeftCell="A32" zoomScale="70" zoomScaleNormal="70" workbookViewId="0">
      <selection activeCell="I54" sqref="I54"/>
    </sheetView>
  </sheetViews>
  <sheetFormatPr defaultRowHeight="26.25"/>
  <cols>
    <col min="1" max="1" width="9.06640625" style="76"/>
    <col min="2" max="2" width="13.6640625" style="76" bestFit="1" customWidth="1"/>
    <col min="3" max="4" width="13.796875" style="76" customWidth="1"/>
    <col min="5" max="5" width="14.1328125" style="76" bestFit="1" customWidth="1"/>
    <col min="6" max="6" width="13.33203125" style="76" customWidth="1"/>
    <col min="7" max="7" width="11.19921875" style="76" bestFit="1" customWidth="1"/>
    <col min="8" max="8" width="14.796875" style="76" bestFit="1" customWidth="1"/>
    <col min="9" max="9" width="10.265625" style="76" customWidth="1"/>
    <col min="10" max="10" width="12.6640625" style="76" bestFit="1" customWidth="1"/>
    <col min="11" max="11" width="11.19921875" style="76" bestFit="1" customWidth="1"/>
    <col min="12" max="12" width="11" style="76" bestFit="1" customWidth="1"/>
    <col min="13" max="14" width="13.73046875" style="76" bestFit="1" customWidth="1"/>
    <col min="15" max="15" width="8.6640625" style="76" bestFit="1" customWidth="1"/>
    <col min="16" max="16" width="7.73046875" style="76" bestFit="1" customWidth="1"/>
    <col min="17" max="18" width="13.86328125" style="76" bestFit="1" customWidth="1"/>
    <col min="19" max="19" width="8.9296875" style="76" bestFit="1" customWidth="1"/>
    <col min="20" max="20" width="8.6640625" style="76" customWidth="1"/>
    <col min="21" max="21" width="11.46484375" style="76" bestFit="1" customWidth="1"/>
    <col min="22" max="16384" width="9.06640625" style="76"/>
  </cols>
  <sheetData>
    <row r="1" spans="1:20">
      <c r="A1" s="76" t="s">
        <v>166</v>
      </c>
    </row>
    <row r="2" spans="1:20">
      <c r="B2" s="145"/>
      <c r="I2" s="77" t="s">
        <v>167</v>
      </c>
      <c r="J2" s="167">
        <v>4.1000000000000002E-2</v>
      </c>
    </row>
    <row r="3" spans="1:20" ht="28.5">
      <c r="B3" s="145"/>
      <c r="I3" s="168" t="s">
        <v>82</v>
      </c>
      <c r="J3" s="126">
        <v>4.2500000000000003E-2</v>
      </c>
    </row>
    <row r="4" spans="1:20" ht="28.5">
      <c r="I4" s="168" t="s">
        <v>72</v>
      </c>
      <c r="J4" s="126">
        <v>4.1000000000000002E-2</v>
      </c>
    </row>
    <row r="5" spans="1:20">
      <c r="B5" s="84" t="s">
        <v>48</v>
      </c>
      <c r="C5" s="84" t="s">
        <v>168</v>
      </c>
      <c r="D5" s="84" t="s">
        <v>169</v>
      </c>
      <c r="E5" s="84" t="s">
        <v>170</v>
      </c>
      <c r="F5" s="150" t="s">
        <v>171</v>
      </c>
      <c r="G5" s="150" t="s">
        <v>172</v>
      </c>
      <c r="H5" s="150" t="s">
        <v>173</v>
      </c>
      <c r="I5" s="150" t="s">
        <v>78</v>
      </c>
      <c r="J5" s="150" t="s">
        <v>80</v>
      </c>
      <c r="K5" s="172" t="s">
        <v>174</v>
      </c>
    </row>
    <row r="6" spans="1:20" ht="28.5">
      <c r="B6" s="90">
        <v>1</v>
      </c>
      <c r="C6" s="91" t="e">
        <f>#REF!</f>
        <v>#REF!</v>
      </c>
      <c r="D6" s="180" t="e">
        <f>1/(1+C6)^B6</f>
        <v>#REF!</v>
      </c>
      <c r="E6" s="151" t="e">
        <f>C6</f>
        <v>#REF!</v>
      </c>
      <c r="F6" s="177">
        <v>2.0387582213760381E-3</v>
      </c>
      <c r="G6" s="124" t="e">
        <f>C6+F6</f>
        <v>#REF!</v>
      </c>
      <c r="H6" s="122" t="e">
        <f>1/(1+G6)^B6</f>
        <v>#REF!</v>
      </c>
      <c r="I6" s="123">
        <f>J4*$C$16</f>
        <v>4.1000000000000005</v>
      </c>
      <c r="J6" s="122">
        <f>I6/(1+J3)^B6</f>
        <v>3.9328537170263793</v>
      </c>
      <c r="K6" s="154" t="e">
        <f>I6*H6</f>
        <v>#REF!</v>
      </c>
    </row>
    <row r="7" spans="1:20" ht="28.5">
      <c r="B7" s="101">
        <v>2</v>
      </c>
      <c r="C7" s="173" t="e">
        <f>#REF!</f>
        <v>#REF!</v>
      </c>
      <c r="D7" s="181" t="e">
        <f>1/(1+C7)^B7</f>
        <v>#REF!</v>
      </c>
      <c r="E7" s="174" t="e">
        <f>((1+C7)^B7/(1+C6)^B6)-1</f>
        <v>#REF!</v>
      </c>
      <c r="F7" s="178">
        <f>F6</f>
        <v>2.0387582213760381E-3</v>
      </c>
      <c r="G7" s="175" t="e">
        <f>C7+F7</f>
        <v>#REF!</v>
      </c>
      <c r="H7" s="176" t="e">
        <f>1/(1+G7)^B7</f>
        <v>#REF!</v>
      </c>
      <c r="I7" s="158">
        <f>100+$I$6</f>
        <v>104.1</v>
      </c>
      <c r="J7" s="176">
        <f>I7/(1+J3)^B7</f>
        <v>95.785242309749322</v>
      </c>
      <c r="K7" s="159" t="e">
        <f>I7*H7</f>
        <v>#REF!</v>
      </c>
    </row>
    <row r="8" spans="1:20" ht="28.5">
      <c r="B8" s="90"/>
      <c r="C8" s="151"/>
      <c r="D8" s="151"/>
      <c r="E8" s="94"/>
      <c r="F8" s="151"/>
      <c r="G8" s="157"/>
      <c r="H8" s="161"/>
      <c r="I8" s="168" t="s">
        <v>175</v>
      </c>
      <c r="J8" s="179">
        <f>SUM(J6:J7)</f>
        <v>99.718096026775697</v>
      </c>
      <c r="K8" s="179" t="e">
        <f>SUM(K6:K7)</f>
        <v>#REF!</v>
      </c>
    </row>
    <row r="9" spans="1:20" ht="28.5">
      <c r="B9" s="90"/>
      <c r="C9" s="151"/>
      <c r="D9" s="151"/>
      <c r="E9" s="94"/>
      <c r="F9" s="151"/>
      <c r="G9" s="157"/>
      <c r="H9" s="161"/>
      <c r="I9" s="124"/>
      <c r="J9" s="120"/>
      <c r="K9" s="125"/>
      <c r="L9" s="123"/>
      <c r="M9" s="162"/>
      <c r="T9" s="163"/>
    </row>
    <row r="10" spans="1:20" ht="28.5">
      <c r="B10" s="90"/>
      <c r="C10" s="151"/>
      <c r="D10" s="151"/>
      <c r="E10" s="94"/>
      <c r="F10" s="151"/>
      <c r="G10" s="157"/>
      <c r="H10" s="161"/>
      <c r="I10" s="171" t="s">
        <v>176</v>
      </c>
      <c r="J10" s="169">
        <f>'Bond valn using zeros'!H38</f>
        <v>4.5663731259742914E-2</v>
      </c>
      <c r="K10" s="125"/>
      <c r="L10" s="123"/>
      <c r="M10" s="122"/>
      <c r="N10" s="154"/>
    </row>
    <row r="11" spans="1:20" ht="28.5">
      <c r="B11" s="145"/>
      <c r="C11" s="90"/>
      <c r="D11" s="90"/>
      <c r="E11" s="151"/>
      <c r="F11" s="94"/>
      <c r="G11" s="151"/>
      <c r="H11" s="157"/>
      <c r="I11" s="170" t="s">
        <v>177</v>
      </c>
      <c r="J11" s="121">
        <f>J3-J10</f>
        <v>-3.1637312597429107E-3</v>
      </c>
      <c r="K11" s="122">
        <f>J11*10000</f>
        <v>-31.637312597429109</v>
      </c>
      <c r="L11" s="123" t="s">
        <v>178</v>
      </c>
      <c r="M11" s="120"/>
      <c r="O11" s="152"/>
      <c r="P11" s="153"/>
      <c r="Q11" s="164"/>
      <c r="R11" s="155"/>
      <c r="T11" s="164"/>
    </row>
    <row r="12" spans="1:20" ht="28.5">
      <c r="B12" s="145"/>
      <c r="C12" s="90"/>
      <c r="D12" s="151"/>
      <c r="E12" s="94"/>
      <c r="F12" s="151"/>
      <c r="G12" s="157"/>
      <c r="H12" s="170"/>
      <c r="I12" s="124"/>
      <c r="J12" s="122"/>
      <c r="K12" s="123"/>
      <c r="L12" s="120"/>
      <c r="N12" s="152"/>
      <c r="O12" s="153"/>
      <c r="P12" s="164"/>
      <c r="Q12" s="155"/>
      <c r="S12" s="164"/>
    </row>
    <row r="13" spans="1:20" ht="28.5">
      <c r="B13" s="145" t="s">
        <v>179</v>
      </c>
      <c r="C13" s="90"/>
      <c r="D13" s="151"/>
      <c r="E13" s="94"/>
      <c r="F13" s="151"/>
      <c r="G13" s="157"/>
      <c r="H13" s="170"/>
      <c r="I13" s="124"/>
      <c r="J13" s="122"/>
      <c r="K13" s="123"/>
      <c r="L13" s="120"/>
      <c r="N13" s="152"/>
      <c r="O13" s="153"/>
      <c r="P13" s="164"/>
      <c r="Q13" s="155"/>
      <c r="S13" s="164"/>
    </row>
    <row r="14" spans="1:20" ht="28.5">
      <c r="B14" s="145" t="s">
        <v>180</v>
      </c>
      <c r="C14" s="90"/>
      <c r="D14" s="151"/>
      <c r="E14" s="94"/>
      <c r="F14" s="151"/>
      <c r="G14" s="157"/>
      <c r="H14" s="170"/>
      <c r="I14" s="124"/>
      <c r="J14" s="122"/>
      <c r="K14" s="123"/>
      <c r="L14" s="120"/>
      <c r="N14" s="152"/>
      <c r="O14" s="153"/>
      <c r="P14" s="164"/>
      <c r="Q14" s="155"/>
      <c r="S14" s="164"/>
    </row>
    <row r="15" spans="1:20">
      <c r="B15" s="77" t="s">
        <v>181</v>
      </c>
      <c r="C15" s="184" t="e">
        <f>#REF!</f>
        <v>#REF!</v>
      </c>
      <c r="J15" s="122"/>
      <c r="K15" s="123"/>
      <c r="L15" s="120"/>
      <c r="N15" s="152"/>
      <c r="O15" s="153"/>
      <c r="P15" s="164"/>
      <c r="Q15" s="155"/>
      <c r="S15" s="164"/>
    </row>
    <row r="16" spans="1:20">
      <c r="B16" s="200" t="s">
        <v>182</v>
      </c>
      <c r="C16" s="146">
        <v>100</v>
      </c>
      <c r="D16" s="146"/>
      <c r="E16" s="146"/>
    </row>
    <row r="17" spans="2:17">
      <c r="B17" s="77" t="s">
        <v>183</v>
      </c>
      <c r="C17" s="199" t="e">
        <f>J3-C15</f>
        <v>#REF!</v>
      </c>
      <c r="D17" s="146"/>
    </row>
    <row r="18" spans="2:17">
      <c r="B18" s="77" t="s">
        <v>184</v>
      </c>
      <c r="C18" s="211"/>
      <c r="D18" s="146" t="s">
        <v>178</v>
      </c>
    </row>
    <row r="19" spans="2:17">
      <c r="B19" s="147" t="s">
        <v>185</v>
      </c>
      <c r="C19" s="146"/>
      <c r="D19" s="146"/>
      <c r="G19" s="148"/>
      <c r="H19" s="149"/>
    </row>
    <row r="20" spans="2:17">
      <c r="B20" s="147"/>
      <c r="C20" s="146"/>
      <c r="E20" s="148" t="s">
        <v>186</v>
      </c>
      <c r="F20" s="202"/>
      <c r="G20" s="76" t="s">
        <v>187</v>
      </c>
      <c r="H20" s="149"/>
    </row>
    <row r="21" spans="2:17">
      <c r="B21" s="198" t="s">
        <v>188</v>
      </c>
      <c r="C21" s="187"/>
      <c r="D21" s="197" t="s">
        <v>189</v>
      </c>
      <c r="E21" s="189"/>
      <c r="F21" s="189"/>
    </row>
    <row r="22" spans="2:17">
      <c r="B22" s="185" t="s">
        <v>190</v>
      </c>
      <c r="C22" s="185" t="s">
        <v>191</v>
      </c>
      <c r="D22" s="193" t="s">
        <v>192</v>
      </c>
      <c r="E22" s="190" t="s">
        <v>193</v>
      </c>
      <c r="F22" s="190" t="s">
        <v>194</v>
      </c>
      <c r="Q22" s="90"/>
    </row>
    <row r="23" spans="2:17">
      <c r="B23" s="186">
        <f>($J$4)*$C$16</f>
        <v>4.1000000000000005</v>
      </c>
      <c r="C23" s="182"/>
      <c r="D23" s="194"/>
      <c r="E23" s="203"/>
      <c r="F23" s="156"/>
      <c r="I23" s="165"/>
    </row>
    <row r="24" spans="2:17">
      <c r="B24" s="191">
        <f>($J$4)*$C$16</f>
        <v>4.1000000000000005</v>
      </c>
      <c r="C24" s="192"/>
      <c r="D24" s="195"/>
      <c r="E24" s="204"/>
      <c r="F24" s="160"/>
    </row>
    <row r="25" spans="2:17">
      <c r="B25" s="212" t="s">
        <v>195</v>
      </c>
      <c r="C25" s="213">
        <f>SUM(C23:C24)</f>
        <v>0</v>
      </c>
      <c r="D25" s="196"/>
      <c r="E25" s="188" t="s">
        <v>196</v>
      </c>
      <c r="F25" s="201">
        <f>SUM(F23:F24)+F20</f>
        <v>0</v>
      </c>
      <c r="G25" s="76" t="s">
        <v>197</v>
      </c>
    </row>
    <row r="26" spans="2:17" ht="28.5">
      <c r="C26" s="90"/>
      <c r="D26" s="166"/>
      <c r="E26" s="166"/>
      <c r="F26" s="166"/>
      <c r="G26" s="166"/>
    </row>
    <row r="27" spans="2:17" ht="28.5">
      <c r="C27" s="90"/>
      <c r="D27" s="166"/>
      <c r="E27" s="166"/>
      <c r="F27" s="166"/>
      <c r="G27" s="166"/>
    </row>
    <row r="28" spans="2:17" ht="28.5">
      <c r="C28" s="90"/>
      <c r="D28" s="166"/>
      <c r="E28" s="166"/>
      <c r="F28" s="166"/>
      <c r="G28" s="166"/>
    </row>
    <row r="29" spans="2:17" ht="28.5">
      <c r="B29" s="76" t="s">
        <v>198</v>
      </c>
      <c r="C29" s="90"/>
      <c r="D29" s="166"/>
      <c r="E29" s="166"/>
      <c r="F29" s="166"/>
      <c r="G29" s="166"/>
      <c r="H29" s="76" t="s">
        <v>199</v>
      </c>
    </row>
    <row r="30" spans="2:17" ht="28.5">
      <c r="C30" s="90"/>
      <c r="D30" s="206"/>
      <c r="E30" s="166"/>
      <c r="F30" s="166"/>
      <c r="G30" s="166"/>
    </row>
    <row r="31" spans="2:17" ht="28.5">
      <c r="C31" s="183"/>
      <c r="D31" s="205"/>
      <c r="E31" s="207"/>
      <c r="F31" s="166"/>
      <c r="G31" s="166"/>
    </row>
    <row r="32" spans="2:17" ht="28.5">
      <c r="C32" s="90"/>
      <c r="D32" s="166"/>
      <c r="E32" s="166"/>
      <c r="F32" s="166"/>
      <c r="G32" s="166"/>
    </row>
    <row r="33" spans="3:7" ht="28.5">
      <c r="E33" s="166"/>
      <c r="F33" s="166"/>
      <c r="G33" s="166"/>
    </row>
    <row r="34" spans="3:7" ht="28.5">
      <c r="C34" s="90"/>
      <c r="D34" s="166"/>
      <c r="E34" s="166"/>
    </row>
    <row r="35" spans="3:7" ht="28.5">
      <c r="C35" s="90"/>
      <c r="D35" s="206"/>
      <c r="E35" s="208"/>
      <c r="F35" s="209"/>
    </row>
    <row r="36" spans="3:7" ht="28.5">
      <c r="C36" s="183"/>
      <c r="D36" s="205"/>
      <c r="E36" s="207"/>
      <c r="F36" s="209"/>
    </row>
    <row r="37" spans="3:7">
      <c r="E37" s="183"/>
      <c r="F37" s="210"/>
    </row>
    <row r="38" spans="3:7">
      <c r="C38" s="90"/>
      <c r="F38" s="111"/>
    </row>
  </sheetData>
  <pageMargins left="0.7" right="0.7" top="0.75" bottom="0.75" header="0.3" footer="0.3"/>
  <pageSetup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18D80-CB07-46A8-90DA-8DB341C4532B}">
  <sheetPr>
    <tabColor rgb="FFFFFF66"/>
  </sheetPr>
  <dimension ref="A1:XFC99"/>
  <sheetViews>
    <sheetView topLeftCell="A37" zoomScale="55" zoomScaleNormal="55" workbookViewId="0">
      <selection activeCell="O64" sqref="O64"/>
    </sheetView>
  </sheetViews>
  <sheetFormatPr defaultColWidth="8.53125" defaultRowHeight="28.5"/>
  <cols>
    <col min="1" max="1" width="8.53125" style="214"/>
    <col min="2" max="2" width="13.19921875" style="214" bestFit="1" customWidth="1"/>
    <col min="3" max="3" width="13.3984375" style="214" bestFit="1" customWidth="1"/>
    <col min="4" max="4" width="8.73046875" style="214" bestFit="1" customWidth="1"/>
    <col min="5" max="5" width="5.86328125" style="214" bestFit="1" customWidth="1"/>
    <col min="6" max="6" width="13.06640625" style="214" customWidth="1"/>
    <col min="7" max="7" width="19.3984375" style="214" bestFit="1" customWidth="1"/>
    <col min="8" max="8" width="18.3984375" style="214" bestFit="1" customWidth="1"/>
    <col min="9" max="9" width="15" style="214" bestFit="1" customWidth="1"/>
    <col min="10" max="10" width="8.59765625" style="214" bestFit="1" customWidth="1"/>
    <col min="11" max="11" width="6.9296875" style="214" customWidth="1"/>
    <col min="12" max="12" width="8.59765625" style="214" bestFit="1" customWidth="1"/>
    <col min="13" max="13" width="8.53125" style="214"/>
    <col min="14" max="14" width="15" style="214" bestFit="1" customWidth="1"/>
    <col min="15" max="15" width="15.265625" style="214" customWidth="1"/>
    <col min="16" max="16" width="10.73046875" style="214" customWidth="1"/>
    <col min="17" max="17" width="8.59765625" style="214" bestFit="1" customWidth="1"/>
    <col min="18" max="19" width="11.73046875" style="214" bestFit="1" customWidth="1"/>
    <col min="20" max="16384" width="8.53125" style="214"/>
  </cols>
  <sheetData>
    <row r="1" spans="1:16383">
      <c r="A1" t="s">
        <v>200</v>
      </c>
    </row>
    <row r="2" spans="1:16383">
      <c r="A2" t="s">
        <v>201</v>
      </c>
    </row>
    <row r="5" spans="1:16383">
      <c r="B5" t="s">
        <v>202</v>
      </c>
      <c r="C5"/>
      <c r="D5"/>
      <c r="E5"/>
      <c r="F5"/>
      <c r="G5"/>
      <c r="H5"/>
      <c r="I5"/>
      <c r="J5"/>
      <c r="K5"/>
      <c r="L5"/>
      <c r="M5"/>
      <c r="N5"/>
      <c r="O5" t="s">
        <v>203</v>
      </c>
      <c r="P5"/>
      <c r="Q5"/>
      <c r="R5"/>
      <c r="S5"/>
      <c r="T5"/>
      <c r="U5"/>
      <c r="V5"/>
      <c r="W5"/>
      <c r="X5"/>
      <c r="Y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  <c r="CFL5"/>
      <c r="CFM5"/>
      <c r="CFN5"/>
      <c r="CFO5"/>
      <c r="CFP5"/>
      <c r="CFQ5"/>
      <c r="CFR5"/>
      <c r="CFS5"/>
      <c r="CFT5"/>
      <c r="CFU5"/>
      <c r="CFV5"/>
      <c r="CFW5"/>
      <c r="CFX5"/>
      <c r="CFY5"/>
      <c r="CFZ5"/>
      <c r="CGA5"/>
      <c r="CGB5"/>
      <c r="CGC5"/>
      <c r="CGD5"/>
      <c r="CGE5"/>
      <c r="CGF5"/>
      <c r="CGG5"/>
      <c r="CGH5"/>
      <c r="CGI5"/>
      <c r="CGJ5"/>
      <c r="CGK5"/>
      <c r="CGL5"/>
      <c r="CGM5"/>
      <c r="CGN5"/>
      <c r="CGO5"/>
      <c r="CGP5"/>
      <c r="CGQ5"/>
      <c r="CGR5"/>
      <c r="CGS5"/>
      <c r="CGT5"/>
      <c r="CGU5"/>
      <c r="CGV5"/>
      <c r="CGW5"/>
      <c r="CGX5"/>
      <c r="CGY5"/>
      <c r="CGZ5"/>
      <c r="CHA5"/>
      <c r="CHB5"/>
      <c r="CHC5"/>
      <c r="CHD5"/>
      <c r="CHE5"/>
      <c r="CHF5"/>
      <c r="CHG5"/>
      <c r="CHH5"/>
      <c r="CHI5"/>
      <c r="CHJ5"/>
      <c r="CHK5"/>
      <c r="CHL5"/>
      <c r="CHM5"/>
      <c r="CHN5"/>
      <c r="CHO5"/>
      <c r="CHP5"/>
      <c r="CHQ5"/>
      <c r="CHR5"/>
      <c r="CHS5"/>
      <c r="CHT5"/>
      <c r="CHU5"/>
      <c r="CHV5"/>
      <c r="CHW5"/>
      <c r="CHX5"/>
      <c r="CHY5"/>
      <c r="CHZ5"/>
      <c r="CIA5"/>
      <c r="CIB5"/>
      <c r="CIC5"/>
      <c r="CID5"/>
      <c r="CIE5"/>
      <c r="CIF5"/>
      <c r="CIG5"/>
      <c r="CIH5"/>
      <c r="CII5"/>
      <c r="CIJ5"/>
      <c r="CIK5"/>
      <c r="CIL5"/>
      <c r="CIM5"/>
      <c r="CIN5"/>
      <c r="CIO5"/>
      <c r="CIP5"/>
      <c r="CIQ5"/>
      <c r="CIR5"/>
      <c r="CIS5"/>
      <c r="CIT5"/>
      <c r="CIU5"/>
      <c r="CIV5"/>
      <c r="CIW5"/>
      <c r="CIX5"/>
      <c r="CIY5"/>
      <c r="CIZ5"/>
      <c r="CJA5"/>
      <c r="CJB5"/>
      <c r="CJC5"/>
      <c r="CJD5"/>
      <c r="CJE5"/>
      <c r="CJF5"/>
      <c r="CJG5"/>
      <c r="CJH5"/>
      <c r="CJI5"/>
      <c r="CJJ5"/>
      <c r="CJK5"/>
      <c r="CJL5"/>
      <c r="CJM5"/>
      <c r="CJN5"/>
      <c r="CJO5"/>
      <c r="CJP5"/>
      <c r="CJQ5"/>
      <c r="CJR5"/>
      <c r="CJS5"/>
      <c r="CJT5"/>
      <c r="CJU5"/>
      <c r="CJV5"/>
      <c r="CJW5"/>
      <c r="CJX5"/>
      <c r="CJY5"/>
      <c r="CJZ5"/>
      <c r="CKA5"/>
      <c r="CKB5"/>
      <c r="CKC5"/>
      <c r="CKD5"/>
      <c r="CKE5"/>
      <c r="CKF5"/>
      <c r="CKG5"/>
      <c r="CKH5"/>
      <c r="CKI5"/>
      <c r="CKJ5"/>
      <c r="CKK5"/>
      <c r="CKL5"/>
      <c r="CKM5"/>
      <c r="CKN5"/>
      <c r="CKO5"/>
      <c r="CKP5"/>
      <c r="CKQ5"/>
      <c r="CKR5"/>
      <c r="CKS5"/>
      <c r="CKT5"/>
      <c r="CKU5"/>
      <c r="CKV5"/>
      <c r="CKW5"/>
      <c r="CKX5"/>
      <c r="CKY5"/>
      <c r="CKZ5"/>
      <c r="CLA5"/>
      <c r="CLB5"/>
      <c r="CLC5"/>
      <c r="CLD5"/>
      <c r="CLE5"/>
      <c r="CLF5"/>
      <c r="CLG5"/>
      <c r="CLH5"/>
      <c r="CLI5"/>
      <c r="CLJ5"/>
      <c r="CLK5"/>
      <c r="CLL5"/>
      <c r="CLM5"/>
      <c r="CLN5"/>
      <c r="CLO5"/>
      <c r="CLP5"/>
      <c r="CLQ5"/>
      <c r="CLR5"/>
      <c r="CLS5"/>
      <c r="CLT5"/>
      <c r="CLU5"/>
      <c r="CLV5"/>
      <c r="CLW5"/>
      <c r="CLX5"/>
      <c r="CLY5"/>
      <c r="CLZ5"/>
      <c r="CMA5"/>
      <c r="CMB5"/>
      <c r="CMC5"/>
      <c r="CMD5"/>
      <c r="CME5"/>
      <c r="CMF5"/>
      <c r="CMG5"/>
      <c r="CMH5"/>
      <c r="CMI5"/>
      <c r="CMJ5"/>
      <c r="CMK5"/>
      <c r="CML5"/>
      <c r="CMM5"/>
      <c r="CMN5"/>
      <c r="CMO5"/>
      <c r="CMP5"/>
      <c r="CMQ5"/>
      <c r="CMR5"/>
      <c r="CMS5"/>
      <c r="CMT5"/>
      <c r="CMU5"/>
      <c r="CMV5"/>
      <c r="CMW5"/>
      <c r="CMX5"/>
      <c r="CMY5"/>
      <c r="CMZ5"/>
      <c r="CNA5"/>
      <c r="CNB5"/>
      <c r="CNC5"/>
      <c r="CND5"/>
      <c r="CNE5"/>
      <c r="CNF5"/>
      <c r="CNG5"/>
      <c r="CNH5"/>
      <c r="CNI5"/>
      <c r="CNJ5"/>
      <c r="CNK5"/>
      <c r="CNL5"/>
      <c r="CNM5"/>
      <c r="CNN5"/>
      <c r="CNO5"/>
      <c r="CNP5"/>
      <c r="CNQ5"/>
      <c r="CNR5"/>
      <c r="CNS5"/>
      <c r="CNT5"/>
      <c r="CNU5"/>
      <c r="CNV5"/>
      <c r="CNW5"/>
      <c r="CNX5"/>
      <c r="CNY5"/>
      <c r="CNZ5"/>
      <c r="COA5"/>
      <c r="COB5"/>
      <c r="COC5"/>
      <c r="COD5"/>
      <c r="COE5"/>
      <c r="COF5"/>
      <c r="COG5"/>
      <c r="COH5"/>
      <c r="COI5"/>
      <c r="COJ5"/>
      <c r="COK5"/>
      <c r="COL5"/>
      <c r="COM5"/>
      <c r="CON5"/>
      <c r="COO5"/>
      <c r="COP5"/>
      <c r="COQ5"/>
      <c r="COR5"/>
      <c r="COS5"/>
      <c r="COT5"/>
      <c r="COU5"/>
      <c r="COV5"/>
      <c r="COW5"/>
      <c r="COX5"/>
      <c r="COY5"/>
      <c r="COZ5"/>
      <c r="CPA5"/>
      <c r="CPB5"/>
      <c r="CPC5"/>
      <c r="CPD5"/>
      <c r="CPE5"/>
      <c r="CPF5"/>
      <c r="CPG5"/>
      <c r="CPH5"/>
      <c r="CPI5"/>
      <c r="CPJ5"/>
      <c r="CPK5"/>
      <c r="CPL5"/>
      <c r="CPM5"/>
      <c r="CPN5"/>
      <c r="CPO5"/>
      <c r="CPP5"/>
      <c r="CPQ5"/>
      <c r="CPR5"/>
      <c r="CPS5"/>
      <c r="CPT5"/>
      <c r="CPU5"/>
      <c r="CPV5"/>
      <c r="CPW5"/>
      <c r="CPX5"/>
      <c r="CPY5"/>
      <c r="CPZ5"/>
      <c r="CQA5"/>
      <c r="CQB5"/>
      <c r="CQC5"/>
      <c r="CQD5"/>
      <c r="CQE5"/>
      <c r="CQF5"/>
      <c r="CQG5"/>
      <c r="CQH5"/>
      <c r="CQI5"/>
      <c r="CQJ5"/>
      <c r="CQK5"/>
      <c r="CQL5"/>
      <c r="CQM5"/>
      <c r="CQN5"/>
      <c r="CQO5"/>
      <c r="CQP5"/>
      <c r="CQQ5"/>
      <c r="CQR5"/>
      <c r="CQS5"/>
      <c r="CQT5"/>
      <c r="CQU5"/>
      <c r="CQV5"/>
      <c r="CQW5"/>
      <c r="CQX5"/>
      <c r="CQY5"/>
      <c r="CQZ5"/>
      <c r="CRA5"/>
      <c r="CRB5"/>
      <c r="CRC5"/>
      <c r="CRD5"/>
      <c r="CRE5"/>
      <c r="CRF5"/>
      <c r="CRG5"/>
      <c r="CRH5"/>
      <c r="CRI5"/>
      <c r="CRJ5"/>
      <c r="CRK5"/>
      <c r="CRL5"/>
      <c r="CRM5"/>
      <c r="CRN5"/>
      <c r="CRO5"/>
      <c r="CRP5"/>
      <c r="CRQ5"/>
      <c r="CRR5"/>
      <c r="CRS5"/>
      <c r="CRT5"/>
      <c r="CRU5"/>
      <c r="CRV5"/>
      <c r="CRW5"/>
      <c r="CRX5"/>
      <c r="CRY5"/>
      <c r="CRZ5"/>
      <c r="CSA5"/>
      <c r="CSB5"/>
      <c r="CSC5"/>
      <c r="CSD5"/>
      <c r="CSE5"/>
      <c r="CSF5"/>
      <c r="CSG5"/>
      <c r="CSH5"/>
      <c r="CSI5"/>
      <c r="CSJ5"/>
      <c r="CSK5"/>
      <c r="CSL5"/>
      <c r="CSM5"/>
      <c r="CSN5"/>
      <c r="CSO5"/>
      <c r="CSP5"/>
      <c r="CSQ5"/>
      <c r="CSR5"/>
      <c r="CSS5"/>
      <c r="CST5"/>
      <c r="CSU5"/>
      <c r="CSV5"/>
      <c r="CSW5"/>
      <c r="CSX5"/>
      <c r="CSY5"/>
      <c r="CSZ5"/>
      <c r="CTA5"/>
      <c r="CTB5"/>
      <c r="CTC5"/>
      <c r="CTD5"/>
      <c r="CTE5"/>
      <c r="CTF5"/>
      <c r="CTG5"/>
      <c r="CTH5"/>
      <c r="CTI5"/>
      <c r="CTJ5"/>
      <c r="CTK5"/>
      <c r="CTL5"/>
      <c r="CTM5"/>
      <c r="CTN5"/>
      <c r="CTO5"/>
      <c r="CTP5"/>
      <c r="CTQ5"/>
      <c r="CTR5"/>
      <c r="CTS5"/>
      <c r="CTT5"/>
      <c r="CTU5"/>
      <c r="CTV5"/>
      <c r="CTW5"/>
      <c r="CTX5"/>
      <c r="CTY5"/>
      <c r="CTZ5"/>
      <c r="CUA5"/>
      <c r="CUB5"/>
      <c r="CUC5"/>
      <c r="CUD5"/>
      <c r="CUE5"/>
      <c r="CUF5"/>
      <c r="CUG5"/>
      <c r="CUH5"/>
      <c r="CUI5"/>
      <c r="CUJ5"/>
      <c r="CUK5"/>
      <c r="CUL5"/>
      <c r="CUM5"/>
      <c r="CUN5"/>
      <c r="CUO5"/>
      <c r="CUP5"/>
      <c r="CUQ5"/>
      <c r="CUR5"/>
      <c r="CUS5"/>
      <c r="CUT5"/>
      <c r="CUU5"/>
      <c r="CUV5"/>
      <c r="CUW5"/>
      <c r="CUX5"/>
      <c r="CUY5"/>
      <c r="CUZ5"/>
      <c r="CVA5"/>
      <c r="CVB5"/>
      <c r="CVC5"/>
      <c r="CVD5"/>
      <c r="CVE5"/>
      <c r="CVF5"/>
      <c r="CVG5"/>
      <c r="CVH5"/>
      <c r="CVI5"/>
      <c r="CVJ5"/>
      <c r="CVK5"/>
      <c r="CVL5"/>
      <c r="CVM5"/>
      <c r="CVN5"/>
      <c r="CVO5"/>
      <c r="CVP5"/>
      <c r="CVQ5"/>
      <c r="CVR5"/>
      <c r="CVS5"/>
      <c r="CVT5"/>
      <c r="CVU5"/>
      <c r="CVV5"/>
      <c r="CVW5"/>
      <c r="CVX5"/>
      <c r="CVY5"/>
      <c r="CVZ5"/>
      <c r="CWA5"/>
      <c r="CWB5"/>
      <c r="CWC5"/>
      <c r="CWD5"/>
      <c r="CWE5"/>
      <c r="CWF5"/>
      <c r="CWG5"/>
      <c r="CWH5"/>
      <c r="CWI5"/>
      <c r="CWJ5"/>
      <c r="CWK5"/>
      <c r="CWL5"/>
      <c r="CWM5"/>
      <c r="CWN5"/>
      <c r="CWO5"/>
      <c r="CWP5"/>
      <c r="CWQ5"/>
      <c r="CWR5"/>
      <c r="CWS5"/>
      <c r="CWT5"/>
      <c r="CWU5"/>
      <c r="CWV5"/>
      <c r="CWW5"/>
      <c r="CWX5"/>
      <c r="CWY5"/>
      <c r="CWZ5"/>
      <c r="CXA5"/>
      <c r="CXB5"/>
      <c r="CXC5"/>
      <c r="CXD5"/>
      <c r="CXE5"/>
      <c r="CXF5"/>
      <c r="CXG5"/>
      <c r="CXH5"/>
      <c r="CXI5"/>
      <c r="CXJ5"/>
      <c r="CXK5"/>
      <c r="CXL5"/>
      <c r="CXM5"/>
      <c r="CXN5"/>
      <c r="CXO5"/>
      <c r="CXP5"/>
      <c r="CXQ5"/>
      <c r="CXR5"/>
      <c r="CXS5"/>
      <c r="CXT5"/>
      <c r="CXU5"/>
      <c r="CXV5"/>
      <c r="CXW5"/>
      <c r="CXX5"/>
      <c r="CXY5"/>
      <c r="CXZ5"/>
      <c r="CYA5"/>
      <c r="CYB5"/>
      <c r="CYC5"/>
      <c r="CYD5"/>
      <c r="CYE5"/>
      <c r="CYF5"/>
      <c r="CYG5"/>
      <c r="CYH5"/>
      <c r="CYI5"/>
      <c r="CYJ5"/>
      <c r="CYK5"/>
      <c r="CYL5"/>
      <c r="CYM5"/>
      <c r="CYN5"/>
      <c r="CYO5"/>
      <c r="CYP5"/>
      <c r="CYQ5"/>
      <c r="CYR5"/>
      <c r="CYS5"/>
      <c r="CYT5"/>
      <c r="CYU5"/>
      <c r="CYV5"/>
      <c r="CYW5"/>
      <c r="CYX5"/>
      <c r="CYY5"/>
      <c r="CYZ5"/>
      <c r="CZA5"/>
      <c r="CZB5"/>
      <c r="CZC5"/>
      <c r="CZD5"/>
      <c r="CZE5"/>
      <c r="CZF5"/>
      <c r="CZG5"/>
      <c r="CZH5"/>
      <c r="CZI5"/>
      <c r="CZJ5"/>
      <c r="CZK5"/>
      <c r="CZL5"/>
      <c r="CZM5"/>
      <c r="CZN5"/>
      <c r="CZO5"/>
      <c r="CZP5"/>
      <c r="CZQ5"/>
      <c r="CZR5"/>
      <c r="CZS5"/>
      <c r="CZT5"/>
      <c r="CZU5"/>
      <c r="CZV5"/>
      <c r="CZW5"/>
      <c r="CZX5"/>
      <c r="CZY5"/>
      <c r="CZZ5"/>
      <c r="DAA5"/>
      <c r="DAB5"/>
      <c r="DAC5"/>
      <c r="DAD5"/>
      <c r="DAE5"/>
      <c r="DAF5"/>
      <c r="DAG5"/>
      <c r="DAH5"/>
      <c r="DAI5"/>
      <c r="DAJ5"/>
      <c r="DAK5"/>
      <c r="DAL5"/>
      <c r="DAM5"/>
      <c r="DAN5"/>
      <c r="DAO5"/>
      <c r="DAP5"/>
      <c r="DAQ5"/>
      <c r="DAR5"/>
      <c r="DAS5"/>
      <c r="DAT5"/>
      <c r="DAU5"/>
      <c r="DAV5"/>
      <c r="DAW5"/>
      <c r="DAX5"/>
      <c r="DAY5"/>
      <c r="DAZ5"/>
      <c r="DBA5"/>
      <c r="DBB5"/>
      <c r="DBC5"/>
      <c r="DBD5"/>
      <c r="DBE5"/>
      <c r="DBF5"/>
      <c r="DBG5"/>
      <c r="DBH5"/>
      <c r="DBI5"/>
      <c r="DBJ5"/>
      <c r="DBK5"/>
      <c r="DBL5"/>
      <c r="DBM5"/>
      <c r="DBN5"/>
      <c r="DBO5"/>
      <c r="DBP5"/>
      <c r="DBQ5"/>
      <c r="DBR5"/>
      <c r="DBS5"/>
      <c r="DBT5"/>
      <c r="DBU5"/>
      <c r="DBV5"/>
      <c r="DBW5"/>
      <c r="DBX5"/>
      <c r="DBY5"/>
      <c r="DBZ5"/>
      <c r="DCA5"/>
      <c r="DCB5"/>
      <c r="DCC5"/>
      <c r="DCD5"/>
      <c r="DCE5"/>
      <c r="DCF5"/>
      <c r="DCG5"/>
      <c r="DCH5"/>
      <c r="DCI5"/>
      <c r="DCJ5"/>
      <c r="DCK5"/>
      <c r="DCL5"/>
      <c r="DCM5"/>
      <c r="DCN5"/>
      <c r="DCO5"/>
      <c r="DCP5"/>
      <c r="DCQ5"/>
      <c r="DCR5"/>
      <c r="DCS5"/>
      <c r="DCT5"/>
      <c r="DCU5"/>
      <c r="DCV5"/>
      <c r="DCW5"/>
      <c r="DCX5"/>
      <c r="DCY5"/>
      <c r="DCZ5"/>
      <c r="DDA5"/>
      <c r="DDB5"/>
      <c r="DDC5"/>
      <c r="DDD5"/>
      <c r="DDE5"/>
      <c r="DDF5"/>
      <c r="DDG5"/>
      <c r="DDH5"/>
      <c r="DDI5"/>
      <c r="DDJ5"/>
      <c r="DDK5"/>
      <c r="DDL5"/>
      <c r="DDM5"/>
      <c r="DDN5"/>
      <c r="DDO5"/>
      <c r="DDP5"/>
      <c r="DDQ5"/>
      <c r="DDR5"/>
      <c r="DDS5"/>
      <c r="DDT5"/>
      <c r="DDU5"/>
      <c r="DDV5"/>
      <c r="DDW5"/>
      <c r="DDX5"/>
      <c r="DDY5"/>
      <c r="DDZ5"/>
      <c r="DEA5"/>
      <c r="DEB5"/>
      <c r="DEC5"/>
      <c r="DED5"/>
      <c r="DEE5"/>
      <c r="DEF5"/>
      <c r="DEG5"/>
      <c r="DEH5"/>
      <c r="DEI5"/>
      <c r="DEJ5"/>
      <c r="DEK5"/>
      <c r="DEL5"/>
      <c r="DEM5"/>
      <c r="DEN5"/>
      <c r="DEO5"/>
      <c r="DEP5"/>
      <c r="DEQ5"/>
      <c r="DER5"/>
      <c r="DES5"/>
      <c r="DET5"/>
      <c r="DEU5"/>
      <c r="DEV5"/>
      <c r="DEW5"/>
      <c r="DEX5"/>
      <c r="DEY5"/>
      <c r="DEZ5"/>
      <c r="DFA5"/>
      <c r="DFB5"/>
      <c r="DFC5"/>
      <c r="DFD5"/>
      <c r="DFE5"/>
      <c r="DFF5"/>
      <c r="DFG5"/>
      <c r="DFH5"/>
      <c r="DFI5"/>
      <c r="DFJ5"/>
      <c r="DFK5"/>
      <c r="DFL5"/>
      <c r="DFM5"/>
      <c r="DFN5"/>
      <c r="DFO5"/>
      <c r="DFP5"/>
      <c r="DFQ5"/>
      <c r="DFR5"/>
      <c r="DFS5"/>
      <c r="DFT5"/>
      <c r="DFU5"/>
      <c r="DFV5"/>
      <c r="DFW5"/>
      <c r="DFX5"/>
      <c r="DFY5"/>
      <c r="DFZ5"/>
      <c r="DGA5"/>
      <c r="DGB5"/>
      <c r="DGC5"/>
      <c r="DGD5"/>
      <c r="DGE5"/>
      <c r="DGF5"/>
      <c r="DGG5"/>
      <c r="DGH5"/>
      <c r="DGI5"/>
      <c r="DGJ5"/>
      <c r="DGK5"/>
      <c r="DGL5"/>
      <c r="DGM5"/>
      <c r="DGN5"/>
      <c r="DGO5"/>
      <c r="DGP5"/>
      <c r="DGQ5"/>
      <c r="DGR5"/>
      <c r="DGS5"/>
      <c r="DGT5"/>
      <c r="DGU5"/>
      <c r="DGV5"/>
      <c r="DGW5"/>
      <c r="DGX5"/>
      <c r="DGY5"/>
      <c r="DGZ5"/>
      <c r="DHA5"/>
      <c r="DHB5"/>
      <c r="DHC5"/>
      <c r="DHD5"/>
      <c r="DHE5"/>
      <c r="DHF5"/>
      <c r="DHG5"/>
      <c r="DHH5"/>
      <c r="DHI5"/>
      <c r="DHJ5"/>
      <c r="DHK5"/>
      <c r="DHL5"/>
      <c r="DHM5"/>
      <c r="DHN5"/>
      <c r="DHO5"/>
      <c r="DHP5"/>
      <c r="DHQ5"/>
      <c r="DHR5"/>
      <c r="DHS5"/>
      <c r="DHT5"/>
      <c r="DHU5"/>
      <c r="DHV5"/>
      <c r="DHW5"/>
      <c r="DHX5"/>
      <c r="DHY5"/>
      <c r="DHZ5"/>
      <c r="DIA5"/>
      <c r="DIB5"/>
      <c r="DIC5"/>
      <c r="DID5"/>
      <c r="DIE5"/>
      <c r="DIF5"/>
      <c r="DIG5"/>
      <c r="DIH5"/>
      <c r="DII5"/>
      <c r="DIJ5"/>
      <c r="DIK5"/>
      <c r="DIL5"/>
      <c r="DIM5"/>
      <c r="DIN5"/>
      <c r="DIO5"/>
      <c r="DIP5"/>
      <c r="DIQ5"/>
      <c r="DIR5"/>
      <c r="DIS5"/>
      <c r="DIT5"/>
      <c r="DIU5"/>
      <c r="DIV5"/>
      <c r="DIW5"/>
      <c r="DIX5"/>
      <c r="DIY5"/>
      <c r="DIZ5"/>
      <c r="DJA5"/>
      <c r="DJB5"/>
      <c r="DJC5"/>
      <c r="DJD5"/>
      <c r="DJE5"/>
      <c r="DJF5"/>
      <c r="DJG5"/>
      <c r="DJH5"/>
      <c r="DJI5"/>
      <c r="DJJ5"/>
      <c r="DJK5"/>
      <c r="DJL5"/>
      <c r="DJM5"/>
      <c r="DJN5"/>
      <c r="DJO5"/>
      <c r="DJP5"/>
      <c r="DJQ5"/>
      <c r="DJR5"/>
      <c r="DJS5"/>
      <c r="DJT5"/>
      <c r="DJU5"/>
      <c r="DJV5"/>
      <c r="DJW5"/>
      <c r="DJX5"/>
      <c r="DJY5"/>
      <c r="DJZ5"/>
      <c r="DKA5"/>
      <c r="DKB5"/>
      <c r="DKC5"/>
      <c r="DKD5"/>
      <c r="DKE5"/>
      <c r="DKF5"/>
      <c r="DKG5"/>
      <c r="DKH5"/>
      <c r="DKI5"/>
      <c r="DKJ5"/>
      <c r="DKK5"/>
      <c r="DKL5"/>
      <c r="DKM5"/>
      <c r="DKN5"/>
      <c r="DKO5"/>
      <c r="DKP5"/>
      <c r="DKQ5"/>
      <c r="DKR5"/>
      <c r="DKS5"/>
      <c r="DKT5"/>
      <c r="DKU5"/>
      <c r="DKV5"/>
      <c r="DKW5"/>
      <c r="DKX5"/>
      <c r="DKY5"/>
      <c r="DKZ5"/>
      <c r="DLA5"/>
      <c r="DLB5"/>
      <c r="DLC5"/>
      <c r="DLD5"/>
      <c r="DLE5"/>
      <c r="DLF5"/>
      <c r="DLG5"/>
      <c r="DLH5"/>
      <c r="DLI5"/>
      <c r="DLJ5"/>
      <c r="DLK5"/>
      <c r="DLL5"/>
      <c r="DLM5"/>
      <c r="DLN5"/>
      <c r="DLO5"/>
      <c r="DLP5"/>
      <c r="DLQ5"/>
      <c r="DLR5"/>
      <c r="DLS5"/>
      <c r="DLT5"/>
      <c r="DLU5"/>
      <c r="DLV5"/>
      <c r="DLW5"/>
      <c r="DLX5"/>
      <c r="DLY5"/>
      <c r="DLZ5"/>
      <c r="DMA5"/>
      <c r="DMB5"/>
      <c r="DMC5"/>
      <c r="DMD5"/>
      <c r="DME5"/>
      <c r="DMF5"/>
      <c r="DMG5"/>
      <c r="DMH5"/>
      <c r="DMI5"/>
      <c r="DMJ5"/>
      <c r="DMK5"/>
      <c r="DML5"/>
      <c r="DMM5"/>
      <c r="DMN5"/>
      <c r="DMO5"/>
      <c r="DMP5"/>
      <c r="DMQ5"/>
      <c r="DMR5"/>
      <c r="DMS5"/>
      <c r="DMT5"/>
      <c r="DMU5"/>
      <c r="DMV5"/>
      <c r="DMW5"/>
      <c r="DMX5"/>
      <c r="DMY5"/>
      <c r="DMZ5"/>
      <c r="DNA5"/>
      <c r="DNB5"/>
      <c r="DNC5"/>
      <c r="DND5"/>
      <c r="DNE5"/>
      <c r="DNF5"/>
      <c r="DNG5"/>
      <c r="DNH5"/>
      <c r="DNI5"/>
      <c r="DNJ5"/>
      <c r="DNK5"/>
      <c r="DNL5"/>
      <c r="DNM5"/>
      <c r="DNN5"/>
      <c r="DNO5"/>
      <c r="DNP5"/>
      <c r="DNQ5"/>
      <c r="DNR5"/>
      <c r="DNS5"/>
      <c r="DNT5"/>
      <c r="DNU5"/>
      <c r="DNV5"/>
      <c r="DNW5"/>
      <c r="DNX5"/>
      <c r="DNY5"/>
      <c r="DNZ5"/>
      <c r="DOA5"/>
      <c r="DOB5"/>
      <c r="DOC5"/>
      <c r="DOD5"/>
      <c r="DOE5"/>
      <c r="DOF5"/>
      <c r="DOG5"/>
      <c r="DOH5"/>
      <c r="DOI5"/>
      <c r="DOJ5"/>
      <c r="DOK5"/>
      <c r="DOL5"/>
      <c r="DOM5"/>
      <c r="DON5"/>
      <c r="DOO5"/>
      <c r="DOP5"/>
      <c r="DOQ5"/>
      <c r="DOR5"/>
      <c r="DOS5"/>
      <c r="DOT5"/>
      <c r="DOU5"/>
      <c r="DOV5"/>
      <c r="DOW5"/>
      <c r="DOX5"/>
      <c r="DOY5"/>
      <c r="DOZ5"/>
      <c r="DPA5"/>
      <c r="DPB5"/>
      <c r="DPC5"/>
      <c r="DPD5"/>
      <c r="DPE5"/>
      <c r="DPF5"/>
      <c r="DPG5"/>
      <c r="DPH5"/>
      <c r="DPI5"/>
      <c r="DPJ5"/>
      <c r="DPK5"/>
      <c r="DPL5"/>
      <c r="DPM5"/>
      <c r="DPN5"/>
      <c r="DPO5"/>
      <c r="DPP5"/>
      <c r="DPQ5"/>
      <c r="DPR5"/>
      <c r="DPS5"/>
      <c r="DPT5"/>
      <c r="DPU5"/>
      <c r="DPV5"/>
      <c r="DPW5"/>
      <c r="DPX5"/>
      <c r="DPY5"/>
      <c r="DPZ5"/>
      <c r="DQA5"/>
      <c r="DQB5"/>
      <c r="DQC5"/>
      <c r="DQD5"/>
      <c r="DQE5"/>
      <c r="DQF5"/>
      <c r="DQG5"/>
      <c r="DQH5"/>
      <c r="DQI5"/>
      <c r="DQJ5"/>
      <c r="DQK5"/>
      <c r="DQL5"/>
      <c r="DQM5"/>
      <c r="DQN5"/>
      <c r="DQO5"/>
      <c r="DQP5"/>
      <c r="DQQ5"/>
      <c r="DQR5"/>
      <c r="DQS5"/>
      <c r="DQT5"/>
      <c r="DQU5"/>
      <c r="DQV5"/>
      <c r="DQW5"/>
      <c r="DQX5"/>
      <c r="DQY5"/>
      <c r="DQZ5"/>
      <c r="DRA5"/>
      <c r="DRB5"/>
      <c r="DRC5"/>
      <c r="DRD5"/>
      <c r="DRE5"/>
      <c r="DRF5"/>
      <c r="DRG5"/>
      <c r="DRH5"/>
      <c r="DRI5"/>
      <c r="DRJ5"/>
      <c r="DRK5"/>
      <c r="DRL5"/>
      <c r="DRM5"/>
      <c r="DRN5"/>
      <c r="DRO5"/>
      <c r="DRP5"/>
      <c r="DRQ5"/>
      <c r="DRR5"/>
      <c r="DRS5"/>
      <c r="DRT5"/>
      <c r="DRU5"/>
      <c r="DRV5"/>
      <c r="DRW5"/>
      <c r="DRX5"/>
      <c r="DRY5"/>
      <c r="DRZ5"/>
      <c r="DSA5"/>
      <c r="DSB5"/>
      <c r="DSC5"/>
      <c r="DSD5"/>
      <c r="DSE5"/>
      <c r="DSF5"/>
      <c r="DSG5"/>
      <c r="DSH5"/>
      <c r="DSI5"/>
      <c r="DSJ5"/>
      <c r="DSK5"/>
      <c r="DSL5"/>
      <c r="DSM5"/>
      <c r="DSN5"/>
      <c r="DSO5"/>
      <c r="DSP5"/>
      <c r="DSQ5"/>
      <c r="DSR5"/>
      <c r="DSS5"/>
      <c r="DST5"/>
      <c r="DSU5"/>
      <c r="DSV5"/>
      <c r="DSW5"/>
      <c r="DSX5"/>
      <c r="DSY5"/>
      <c r="DSZ5"/>
      <c r="DTA5"/>
      <c r="DTB5"/>
      <c r="DTC5"/>
      <c r="DTD5"/>
      <c r="DTE5"/>
      <c r="DTF5"/>
      <c r="DTG5"/>
      <c r="DTH5"/>
      <c r="DTI5"/>
      <c r="DTJ5"/>
      <c r="DTK5"/>
      <c r="DTL5"/>
      <c r="DTM5"/>
      <c r="DTN5"/>
      <c r="DTO5"/>
      <c r="DTP5"/>
      <c r="DTQ5"/>
      <c r="DTR5"/>
      <c r="DTS5"/>
      <c r="DTT5"/>
      <c r="DTU5"/>
      <c r="DTV5"/>
      <c r="DTW5"/>
      <c r="DTX5"/>
      <c r="DTY5"/>
      <c r="DTZ5"/>
      <c r="DUA5"/>
      <c r="DUB5"/>
      <c r="DUC5"/>
      <c r="DUD5"/>
      <c r="DUE5"/>
      <c r="DUF5"/>
      <c r="DUG5"/>
      <c r="DUH5"/>
      <c r="DUI5"/>
      <c r="DUJ5"/>
      <c r="DUK5"/>
      <c r="DUL5"/>
      <c r="DUM5"/>
      <c r="DUN5"/>
      <c r="DUO5"/>
      <c r="DUP5"/>
      <c r="DUQ5"/>
      <c r="DUR5"/>
      <c r="DUS5"/>
      <c r="DUT5"/>
      <c r="DUU5"/>
      <c r="DUV5"/>
      <c r="DUW5"/>
      <c r="DUX5"/>
      <c r="DUY5"/>
      <c r="DUZ5"/>
      <c r="DVA5"/>
      <c r="DVB5"/>
      <c r="DVC5"/>
      <c r="DVD5"/>
      <c r="DVE5"/>
      <c r="DVF5"/>
      <c r="DVG5"/>
      <c r="DVH5"/>
      <c r="DVI5"/>
      <c r="DVJ5"/>
      <c r="DVK5"/>
      <c r="DVL5"/>
      <c r="DVM5"/>
      <c r="DVN5"/>
      <c r="DVO5"/>
      <c r="DVP5"/>
      <c r="DVQ5"/>
      <c r="DVR5"/>
      <c r="DVS5"/>
      <c r="DVT5"/>
      <c r="DVU5"/>
      <c r="DVV5"/>
      <c r="DVW5"/>
      <c r="DVX5"/>
      <c r="DVY5"/>
      <c r="DVZ5"/>
      <c r="DWA5"/>
      <c r="DWB5"/>
      <c r="DWC5"/>
      <c r="DWD5"/>
      <c r="DWE5"/>
      <c r="DWF5"/>
      <c r="DWG5"/>
      <c r="DWH5"/>
      <c r="DWI5"/>
      <c r="DWJ5"/>
      <c r="DWK5"/>
      <c r="DWL5"/>
      <c r="DWM5"/>
      <c r="DWN5"/>
      <c r="DWO5"/>
      <c r="DWP5"/>
      <c r="DWQ5"/>
      <c r="DWR5"/>
      <c r="DWS5"/>
      <c r="DWT5"/>
      <c r="DWU5"/>
      <c r="DWV5"/>
      <c r="DWW5"/>
      <c r="DWX5"/>
      <c r="DWY5"/>
      <c r="DWZ5"/>
      <c r="DXA5"/>
      <c r="DXB5"/>
      <c r="DXC5"/>
      <c r="DXD5"/>
      <c r="DXE5"/>
      <c r="DXF5"/>
      <c r="DXG5"/>
      <c r="DXH5"/>
      <c r="DXI5"/>
      <c r="DXJ5"/>
      <c r="DXK5"/>
      <c r="DXL5"/>
      <c r="DXM5"/>
      <c r="DXN5"/>
      <c r="DXO5"/>
      <c r="DXP5"/>
      <c r="DXQ5"/>
      <c r="DXR5"/>
      <c r="DXS5"/>
      <c r="DXT5"/>
      <c r="DXU5"/>
      <c r="DXV5"/>
      <c r="DXW5"/>
      <c r="DXX5"/>
      <c r="DXY5"/>
      <c r="DXZ5"/>
      <c r="DYA5"/>
      <c r="DYB5"/>
      <c r="DYC5"/>
      <c r="DYD5"/>
      <c r="DYE5"/>
      <c r="DYF5"/>
      <c r="DYG5"/>
      <c r="DYH5"/>
      <c r="DYI5"/>
      <c r="DYJ5"/>
      <c r="DYK5"/>
      <c r="DYL5"/>
      <c r="DYM5"/>
      <c r="DYN5"/>
      <c r="DYO5"/>
      <c r="DYP5"/>
      <c r="DYQ5"/>
      <c r="DYR5"/>
      <c r="DYS5"/>
      <c r="DYT5"/>
      <c r="DYU5"/>
      <c r="DYV5"/>
      <c r="DYW5"/>
      <c r="DYX5"/>
      <c r="DYY5"/>
      <c r="DYZ5"/>
      <c r="DZA5"/>
      <c r="DZB5"/>
      <c r="DZC5"/>
      <c r="DZD5"/>
      <c r="DZE5"/>
      <c r="DZF5"/>
      <c r="DZG5"/>
      <c r="DZH5"/>
      <c r="DZI5"/>
      <c r="DZJ5"/>
      <c r="DZK5"/>
      <c r="DZL5"/>
      <c r="DZM5"/>
      <c r="DZN5"/>
      <c r="DZO5"/>
      <c r="DZP5"/>
      <c r="DZQ5"/>
      <c r="DZR5"/>
      <c r="DZS5"/>
      <c r="DZT5"/>
      <c r="DZU5"/>
      <c r="DZV5"/>
      <c r="DZW5"/>
      <c r="DZX5"/>
      <c r="DZY5"/>
      <c r="DZZ5"/>
      <c r="EAA5"/>
      <c r="EAB5"/>
      <c r="EAC5"/>
      <c r="EAD5"/>
      <c r="EAE5"/>
      <c r="EAF5"/>
      <c r="EAG5"/>
      <c r="EAH5"/>
      <c r="EAI5"/>
      <c r="EAJ5"/>
      <c r="EAK5"/>
      <c r="EAL5"/>
      <c r="EAM5"/>
      <c r="EAN5"/>
      <c r="EAO5"/>
      <c r="EAP5"/>
      <c r="EAQ5"/>
      <c r="EAR5"/>
      <c r="EAS5"/>
      <c r="EAT5"/>
      <c r="EAU5"/>
      <c r="EAV5"/>
      <c r="EAW5"/>
      <c r="EAX5"/>
      <c r="EAY5"/>
      <c r="EAZ5"/>
      <c r="EBA5"/>
      <c r="EBB5"/>
      <c r="EBC5"/>
      <c r="EBD5"/>
      <c r="EBE5"/>
      <c r="EBF5"/>
      <c r="EBG5"/>
      <c r="EBH5"/>
      <c r="EBI5"/>
      <c r="EBJ5"/>
      <c r="EBK5"/>
      <c r="EBL5"/>
      <c r="EBM5"/>
      <c r="EBN5"/>
      <c r="EBO5"/>
      <c r="EBP5"/>
      <c r="EBQ5"/>
      <c r="EBR5"/>
      <c r="EBS5"/>
      <c r="EBT5"/>
      <c r="EBU5"/>
      <c r="EBV5"/>
      <c r="EBW5"/>
      <c r="EBX5"/>
      <c r="EBY5"/>
      <c r="EBZ5"/>
      <c r="ECA5"/>
      <c r="ECB5"/>
      <c r="ECC5"/>
      <c r="ECD5"/>
      <c r="ECE5"/>
      <c r="ECF5"/>
      <c r="ECG5"/>
      <c r="ECH5"/>
      <c r="ECI5"/>
      <c r="ECJ5"/>
      <c r="ECK5"/>
      <c r="ECL5"/>
      <c r="ECM5"/>
      <c r="ECN5"/>
      <c r="ECO5"/>
      <c r="ECP5"/>
      <c r="ECQ5"/>
      <c r="ECR5"/>
      <c r="ECS5"/>
      <c r="ECT5"/>
      <c r="ECU5"/>
      <c r="ECV5"/>
      <c r="ECW5"/>
      <c r="ECX5"/>
      <c r="ECY5"/>
      <c r="ECZ5"/>
      <c r="EDA5"/>
      <c r="EDB5"/>
      <c r="EDC5"/>
      <c r="EDD5"/>
      <c r="EDE5"/>
      <c r="EDF5"/>
      <c r="EDG5"/>
      <c r="EDH5"/>
      <c r="EDI5"/>
      <c r="EDJ5"/>
      <c r="EDK5"/>
      <c r="EDL5"/>
      <c r="EDM5"/>
      <c r="EDN5"/>
      <c r="EDO5"/>
      <c r="EDP5"/>
      <c r="EDQ5"/>
      <c r="EDR5"/>
      <c r="EDS5"/>
      <c r="EDT5"/>
      <c r="EDU5"/>
      <c r="EDV5"/>
      <c r="EDW5"/>
      <c r="EDX5"/>
      <c r="EDY5"/>
      <c r="EDZ5"/>
      <c r="EEA5"/>
      <c r="EEB5"/>
      <c r="EEC5"/>
      <c r="EED5"/>
      <c r="EEE5"/>
      <c r="EEF5"/>
      <c r="EEG5"/>
      <c r="EEH5"/>
      <c r="EEI5"/>
      <c r="EEJ5"/>
      <c r="EEK5"/>
      <c r="EEL5"/>
      <c r="EEM5"/>
      <c r="EEN5"/>
      <c r="EEO5"/>
      <c r="EEP5"/>
      <c r="EEQ5"/>
      <c r="EER5"/>
      <c r="EES5"/>
      <c r="EET5"/>
      <c r="EEU5"/>
      <c r="EEV5"/>
      <c r="EEW5"/>
      <c r="EEX5"/>
      <c r="EEY5"/>
      <c r="EEZ5"/>
      <c r="EFA5"/>
      <c r="EFB5"/>
      <c r="EFC5"/>
      <c r="EFD5"/>
      <c r="EFE5"/>
      <c r="EFF5"/>
      <c r="EFG5"/>
      <c r="EFH5"/>
      <c r="EFI5"/>
      <c r="EFJ5"/>
      <c r="EFK5"/>
      <c r="EFL5"/>
      <c r="EFM5"/>
      <c r="EFN5"/>
      <c r="EFO5"/>
      <c r="EFP5"/>
      <c r="EFQ5"/>
      <c r="EFR5"/>
      <c r="EFS5"/>
      <c r="EFT5"/>
      <c r="EFU5"/>
      <c r="EFV5"/>
      <c r="EFW5"/>
      <c r="EFX5"/>
      <c r="EFY5"/>
      <c r="EFZ5"/>
      <c r="EGA5"/>
      <c r="EGB5"/>
      <c r="EGC5"/>
      <c r="EGD5"/>
      <c r="EGE5"/>
      <c r="EGF5"/>
      <c r="EGG5"/>
      <c r="EGH5"/>
      <c r="EGI5"/>
      <c r="EGJ5"/>
      <c r="EGK5"/>
      <c r="EGL5"/>
      <c r="EGM5"/>
      <c r="EGN5"/>
      <c r="EGO5"/>
      <c r="EGP5"/>
      <c r="EGQ5"/>
      <c r="EGR5"/>
      <c r="EGS5"/>
      <c r="EGT5"/>
      <c r="EGU5"/>
      <c r="EGV5"/>
      <c r="EGW5"/>
      <c r="EGX5"/>
      <c r="EGY5"/>
      <c r="EGZ5"/>
      <c r="EHA5"/>
      <c r="EHB5"/>
      <c r="EHC5"/>
      <c r="EHD5"/>
      <c r="EHE5"/>
      <c r="EHF5"/>
      <c r="EHG5"/>
      <c r="EHH5"/>
      <c r="EHI5"/>
      <c r="EHJ5"/>
      <c r="EHK5"/>
      <c r="EHL5"/>
      <c r="EHM5"/>
      <c r="EHN5"/>
      <c r="EHO5"/>
      <c r="EHP5"/>
      <c r="EHQ5"/>
      <c r="EHR5"/>
      <c r="EHS5"/>
      <c r="EHT5"/>
      <c r="EHU5"/>
      <c r="EHV5"/>
      <c r="EHW5"/>
      <c r="EHX5"/>
      <c r="EHY5"/>
      <c r="EHZ5"/>
      <c r="EIA5"/>
      <c r="EIB5"/>
      <c r="EIC5"/>
      <c r="EID5"/>
      <c r="EIE5"/>
      <c r="EIF5"/>
      <c r="EIG5"/>
      <c r="EIH5"/>
      <c r="EII5"/>
      <c r="EIJ5"/>
      <c r="EIK5"/>
      <c r="EIL5"/>
      <c r="EIM5"/>
      <c r="EIN5"/>
      <c r="EIO5"/>
      <c r="EIP5"/>
      <c r="EIQ5"/>
      <c r="EIR5"/>
      <c r="EIS5"/>
      <c r="EIT5"/>
      <c r="EIU5"/>
      <c r="EIV5"/>
      <c r="EIW5"/>
      <c r="EIX5"/>
      <c r="EIY5"/>
      <c r="EIZ5"/>
      <c r="EJA5"/>
      <c r="EJB5"/>
      <c r="EJC5"/>
      <c r="EJD5"/>
      <c r="EJE5"/>
      <c r="EJF5"/>
      <c r="EJG5"/>
      <c r="EJH5"/>
      <c r="EJI5"/>
      <c r="EJJ5"/>
      <c r="EJK5"/>
      <c r="EJL5"/>
      <c r="EJM5"/>
      <c r="EJN5"/>
      <c r="EJO5"/>
      <c r="EJP5"/>
      <c r="EJQ5"/>
      <c r="EJR5"/>
      <c r="EJS5"/>
      <c r="EJT5"/>
      <c r="EJU5"/>
      <c r="EJV5"/>
      <c r="EJW5"/>
      <c r="EJX5"/>
      <c r="EJY5"/>
      <c r="EJZ5"/>
      <c r="EKA5"/>
      <c r="EKB5"/>
      <c r="EKC5"/>
      <c r="EKD5"/>
      <c r="EKE5"/>
      <c r="EKF5"/>
      <c r="EKG5"/>
      <c r="EKH5"/>
      <c r="EKI5"/>
      <c r="EKJ5"/>
      <c r="EKK5"/>
      <c r="EKL5"/>
      <c r="EKM5"/>
      <c r="EKN5"/>
      <c r="EKO5"/>
      <c r="EKP5"/>
      <c r="EKQ5"/>
      <c r="EKR5"/>
      <c r="EKS5"/>
      <c r="EKT5"/>
      <c r="EKU5"/>
      <c r="EKV5"/>
      <c r="EKW5"/>
      <c r="EKX5"/>
      <c r="EKY5"/>
      <c r="EKZ5"/>
      <c r="ELA5"/>
      <c r="ELB5"/>
      <c r="ELC5"/>
      <c r="ELD5"/>
      <c r="ELE5"/>
      <c r="ELF5"/>
      <c r="ELG5"/>
      <c r="ELH5"/>
      <c r="ELI5"/>
      <c r="ELJ5"/>
      <c r="ELK5"/>
      <c r="ELL5"/>
      <c r="ELM5"/>
      <c r="ELN5"/>
      <c r="ELO5"/>
      <c r="ELP5"/>
      <c r="ELQ5"/>
      <c r="ELR5"/>
      <c r="ELS5"/>
      <c r="ELT5"/>
      <c r="ELU5"/>
      <c r="ELV5"/>
      <c r="ELW5"/>
      <c r="ELX5"/>
      <c r="ELY5"/>
      <c r="ELZ5"/>
      <c r="EMA5"/>
      <c r="EMB5"/>
      <c r="EMC5"/>
      <c r="EMD5"/>
      <c r="EME5"/>
      <c r="EMF5"/>
      <c r="EMG5"/>
      <c r="EMH5"/>
      <c r="EMI5"/>
      <c r="EMJ5"/>
      <c r="EMK5"/>
      <c r="EML5"/>
      <c r="EMM5"/>
      <c r="EMN5"/>
      <c r="EMO5"/>
      <c r="EMP5"/>
      <c r="EMQ5"/>
      <c r="EMR5"/>
      <c r="EMS5"/>
      <c r="EMT5"/>
      <c r="EMU5"/>
      <c r="EMV5"/>
      <c r="EMW5"/>
      <c r="EMX5"/>
      <c r="EMY5"/>
      <c r="EMZ5"/>
      <c r="ENA5"/>
      <c r="ENB5"/>
      <c r="ENC5"/>
      <c r="END5"/>
      <c r="ENE5"/>
      <c r="ENF5"/>
      <c r="ENG5"/>
      <c r="ENH5"/>
      <c r="ENI5"/>
      <c r="ENJ5"/>
      <c r="ENK5"/>
      <c r="ENL5"/>
      <c r="ENM5"/>
      <c r="ENN5"/>
      <c r="ENO5"/>
      <c r="ENP5"/>
      <c r="ENQ5"/>
      <c r="ENR5"/>
      <c r="ENS5"/>
      <c r="ENT5"/>
      <c r="ENU5"/>
      <c r="ENV5"/>
      <c r="ENW5"/>
      <c r="ENX5"/>
      <c r="ENY5"/>
      <c r="ENZ5"/>
      <c r="EOA5"/>
      <c r="EOB5"/>
      <c r="EOC5"/>
      <c r="EOD5"/>
      <c r="EOE5"/>
      <c r="EOF5"/>
      <c r="EOG5"/>
      <c r="EOH5"/>
      <c r="EOI5"/>
      <c r="EOJ5"/>
      <c r="EOK5"/>
      <c r="EOL5"/>
      <c r="EOM5"/>
      <c r="EON5"/>
      <c r="EOO5"/>
      <c r="EOP5"/>
      <c r="EOQ5"/>
      <c r="EOR5"/>
      <c r="EOS5"/>
      <c r="EOT5"/>
      <c r="EOU5"/>
      <c r="EOV5"/>
      <c r="EOW5"/>
      <c r="EOX5"/>
      <c r="EOY5"/>
      <c r="EOZ5"/>
      <c r="EPA5"/>
      <c r="EPB5"/>
      <c r="EPC5"/>
      <c r="EPD5"/>
      <c r="EPE5"/>
      <c r="EPF5"/>
      <c r="EPG5"/>
      <c r="EPH5"/>
      <c r="EPI5"/>
      <c r="EPJ5"/>
      <c r="EPK5"/>
      <c r="EPL5"/>
      <c r="EPM5"/>
      <c r="EPN5"/>
      <c r="EPO5"/>
      <c r="EPP5"/>
      <c r="EPQ5"/>
      <c r="EPR5"/>
      <c r="EPS5"/>
      <c r="EPT5"/>
      <c r="EPU5"/>
      <c r="EPV5"/>
      <c r="EPW5"/>
      <c r="EPX5"/>
      <c r="EPY5"/>
      <c r="EPZ5"/>
      <c r="EQA5"/>
      <c r="EQB5"/>
      <c r="EQC5"/>
      <c r="EQD5"/>
      <c r="EQE5"/>
      <c r="EQF5"/>
      <c r="EQG5"/>
      <c r="EQH5"/>
      <c r="EQI5"/>
      <c r="EQJ5"/>
      <c r="EQK5"/>
      <c r="EQL5"/>
      <c r="EQM5"/>
      <c r="EQN5"/>
      <c r="EQO5"/>
      <c r="EQP5"/>
      <c r="EQQ5"/>
      <c r="EQR5"/>
      <c r="EQS5"/>
      <c r="EQT5"/>
      <c r="EQU5"/>
      <c r="EQV5"/>
      <c r="EQW5"/>
      <c r="EQX5"/>
      <c r="EQY5"/>
      <c r="EQZ5"/>
      <c r="ERA5"/>
      <c r="ERB5"/>
      <c r="ERC5"/>
      <c r="ERD5"/>
      <c r="ERE5"/>
      <c r="ERF5"/>
      <c r="ERG5"/>
      <c r="ERH5"/>
      <c r="ERI5"/>
      <c r="ERJ5"/>
      <c r="ERK5"/>
      <c r="ERL5"/>
      <c r="ERM5"/>
      <c r="ERN5"/>
      <c r="ERO5"/>
      <c r="ERP5"/>
      <c r="ERQ5"/>
      <c r="ERR5"/>
      <c r="ERS5"/>
      <c r="ERT5"/>
      <c r="ERU5"/>
      <c r="ERV5"/>
      <c r="ERW5"/>
      <c r="ERX5"/>
      <c r="ERY5"/>
      <c r="ERZ5"/>
      <c r="ESA5"/>
      <c r="ESB5"/>
      <c r="ESC5"/>
      <c r="ESD5"/>
      <c r="ESE5"/>
      <c r="ESF5"/>
      <c r="ESG5"/>
      <c r="ESH5"/>
      <c r="ESI5"/>
      <c r="ESJ5"/>
      <c r="ESK5"/>
      <c r="ESL5"/>
      <c r="ESM5"/>
      <c r="ESN5"/>
      <c r="ESO5"/>
      <c r="ESP5"/>
      <c r="ESQ5"/>
      <c r="ESR5"/>
      <c r="ESS5"/>
      <c r="EST5"/>
      <c r="ESU5"/>
      <c r="ESV5"/>
      <c r="ESW5"/>
      <c r="ESX5"/>
      <c r="ESY5"/>
      <c r="ESZ5"/>
      <c r="ETA5"/>
      <c r="ETB5"/>
      <c r="ETC5"/>
      <c r="ETD5"/>
      <c r="ETE5"/>
      <c r="ETF5"/>
      <c r="ETG5"/>
      <c r="ETH5"/>
      <c r="ETI5"/>
      <c r="ETJ5"/>
      <c r="ETK5"/>
      <c r="ETL5"/>
      <c r="ETM5"/>
      <c r="ETN5"/>
      <c r="ETO5"/>
      <c r="ETP5"/>
      <c r="ETQ5"/>
      <c r="ETR5"/>
      <c r="ETS5"/>
      <c r="ETT5"/>
      <c r="ETU5"/>
      <c r="ETV5"/>
      <c r="ETW5"/>
      <c r="ETX5"/>
      <c r="ETY5"/>
      <c r="ETZ5"/>
      <c r="EUA5"/>
      <c r="EUB5"/>
      <c r="EUC5"/>
      <c r="EUD5"/>
      <c r="EUE5"/>
      <c r="EUF5"/>
      <c r="EUG5"/>
      <c r="EUH5"/>
      <c r="EUI5"/>
      <c r="EUJ5"/>
      <c r="EUK5"/>
      <c r="EUL5"/>
      <c r="EUM5"/>
      <c r="EUN5"/>
      <c r="EUO5"/>
      <c r="EUP5"/>
      <c r="EUQ5"/>
      <c r="EUR5"/>
      <c r="EUS5"/>
      <c r="EUT5"/>
      <c r="EUU5"/>
      <c r="EUV5"/>
      <c r="EUW5"/>
      <c r="EUX5"/>
      <c r="EUY5"/>
      <c r="EUZ5"/>
      <c r="EVA5"/>
      <c r="EVB5"/>
      <c r="EVC5"/>
      <c r="EVD5"/>
      <c r="EVE5"/>
      <c r="EVF5"/>
      <c r="EVG5"/>
      <c r="EVH5"/>
      <c r="EVI5"/>
      <c r="EVJ5"/>
      <c r="EVK5"/>
      <c r="EVL5"/>
      <c r="EVM5"/>
      <c r="EVN5"/>
      <c r="EVO5"/>
      <c r="EVP5"/>
      <c r="EVQ5"/>
      <c r="EVR5"/>
      <c r="EVS5"/>
      <c r="EVT5"/>
      <c r="EVU5"/>
      <c r="EVV5"/>
      <c r="EVW5"/>
      <c r="EVX5"/>
      <c r="EVY5"/>
      <c r="EVZ5"/>
      <c r="EWA5"/>
      <c r="EWB5"/>
      <c r="EWC5"/>
      <c r="EWD5"/>
      <c r="EWE5"/>
      <c r="EWF5"/>
      <c r="EWG5"/>
      <c r="EWH5"/>
      <c r="EWI5"/>
      <c r="EWJ5"/>
      <c r="EWK5"/>
      <c r="EWL5"/>
      <c r="EWM5"/>
      <c r="EWN5"/>
      <c r="EWO5"/>
      <c r="EWP5"/>
      <c r="EWQ5"/>
      <c r="EWR5"/>
      <c r="EWS5"/>
      <c r="EWT5"/>
      <c r="EWU5"/>
      <c r="EWV5"/>
      <c r="EWW5"/>
      <c r="EWX5"/>
      <c r="EWY5"/>
      <c r="EWZ5"/>
      <c r="EXA5"/>
      <c r="EXB5"/>
      <c r="EXC5"/>
      <c r="EXD5"/>
      <c r="EXE5"/>
      <c r="EXF5"/>
      <c r="EXG5"/>
      <c r="EXH5"/>
      <c r="EXI5"/>
      <c r="EXJ5"/>
      <c r="EXK5"/>
      <c r="EXL5"/>
      <c r="EXM5"/>
      <c r="EXN5"/>
      <c r="EXO5"/>
      <c r="EXP5"/>
      <c r="EXQ5"/>
      <c r="EXR5"/>
      <c r="EXS5"/>
      <c r="EXT5"/>
      <c r="EXU5"/>
      <c r="EXV5"/>
      <c r="EXW5"/>
      <c r="EXX5"/>
      <c r="EXY5"/>
      <c r="EXZ5"/>
      <c r="EYA5"/>
      <c r="EYB5"/>
      <c r="EYC5"/>
      <c r="EYD5"/>
      <c r="EYE5"/>
      <c r="EYF5"/>
      <c r="EYG5"/>
      <c r="EYH5"/>
      <c r="EYI5"/>
      <c r="EYJ5"/>
      <c r="EYK5"/>
      <c r="EYL5"/>
      <c r="EYM5"/>
      <c r="EYN5"/>
      <c r="EYO5"/>
      <c r="EYP5"/>
      <c r="EYQ5"/>
      <c r="EYR5"/>
      <c r="EYS5"/>
      <c r="EYT5"/>
      <c r="EYU5"/>
      <c r="EYV5"/>
      <c r="EYW5"/>
      <c r="EYX5"/>
      <c r="EYY5"/>
      <c r="EYZ5"/>
      <c r="EZA5"/>
      <c r="EZB5"/>
      <c r="EZC5"/>
      <c r="EZD5"/>
      <c r="EZE5"/>
      <c r="EZF5"/>
      <c r="EZG5"/>
      <c r="EZH5"/>
      <c r="EZI5"/>
      <c r="EZJ5"/>
      <c r="EZK5"/>
      <c r="EZL5"/>
      <c r="EZM5"/>
      <c r="EZN5"/>
      <c r="EZO5"/>
      <c r="EZP5"/>
      <c r="EZQ5"/>
      <c r="EZR5"/>
      <c r="EZS5"/>
      <c r="EZT5"/>
      <c r="EZU5"/>
      <c r="EZV5"/>
      <c r="EZW5"/>
      <c r="EZX5"/>
      <c r="EZY5"/>
      <c r="EZZ5"/>
      <c r="FAA5"/>
      <c r="FAB5"/>
      <c r="FAC5"/>
      <c r="FAD5"/>
      <c r="FAE5"/>
      <c r="FAF5"/>
      <c r="FAG5"/>
      <c r="FAH5"/>
      <c r="FAI5"/>
      <c r="FAJ5"/>
      <c r="FAK5"/>
      <c r="FAL5"/>
      <c r="FAM5"/>
      <c r="FAN5"/>
      <c r="FAO5"/>
      <c r="FAP5"/>
      <c r="FAQ5"/>
      <c r="FAR5"/>
      <c r="FAS5"/>
      <c r="FAT5"/>
      <c r="FAU5"/>
      <c r="FAV5"/>
      <c r="FAW5"/>
      <c r="FAX5"/>
      <c r="FAY5"/>
      <c r="FAZ5"/>
      <c r="FBA5"/>
      <c r="FBB5"/>
      <c r="FBC5"/>
      <c r="FBD5"/>
      <c r="FBE5"/>
      <c r="FBF5"/>
      <c r="FBG5"/>
      <c r="FBH5"/>
      <c r="FBI5"/>
      <c r="FBJ5"/>
      <c r="FBK5"/>
      <c r="FBL5"/>
      <c r="FBM5"/>
      <c r="FBN5"/>
      <c r="FBO5"/>
      <c r="FBP5"/>
      <c r="FBQ5"/>
      <c r="FBR5"/>
      <c r="FBS5"/>
      <c r="FBT5"/>
      <c r="FBU5"/>
      <c r="FBV5"/>
      <c r="FBW5"/>
      <c r="FBX5"/>
      <c r="FBY5"/>
      <c r="FBZ5"/>
      <c r="FCA5"/>
      <c r="FCB5"/>
      <c r="FCC5"/>
      <c r="FCD5"/>
      <c r="FCE5"/>
      <c r="FCF5"/>
      <c r="FCG5"/>
      <c r="FCH5"/>
      <c r="FCI5"/>
      <c r="FCJ5"/>
      <c r="FCK5"/>
      <c r="FCL5"/>
      <c r="FCM5"/>
      <c r="FCN5"/>
      <c r="FCO5"/>
      <c r="FCP5"/>
      <c r="FCQ5"/>
      <c r="FCR5"/>
      <c r="FCS5"/>
      <c r="FCT5"/>
      <c r="FCU5"/>
      <c r="FCV5"/>
      <c r="FCW5"/>
      <c r="FCX5"/>
      <c r="FCY5"/>
      <c r="FCZ5"/>
      <c r="FDA5"/>
      <c r="FDB5"/>
      <c r="FDC5"/>
      <c r="FDD5"/>
      <c r="FDE5"/>
      <c r="FDF5"/>
      <c r="FDG5"/>
      <c r="FDH5"/>
      <c r="FDI5"/>
      <c r="FDJ5"/>
      <c r="FDK5"/>
      <c r="FDL5"/>
      <c r="FDM5"/>
      <c r="FDN5"/>
      <c r="FDO5"/>
      <c r="FDP5"/>
      <c r="FDQ5"/>
      <c r="FDR5"/>
      <c r="FDS5"/>
      <c r="FDT5"/>
      <c r="FDU5"/>
      <c r="FDV5"/>
      <c r="FDW5"/>
      <c r="FDX5"/>
      <c r="FDY5"/>
      <c r="FDZ5"/>
      <c r="FEA5"/>
      <c r="FEB5"/>
      <c r="FEC5"/>
      <c r="FED5"/>
      <c r="FEE5"/>
      <c r="FEF5"/>
      <c r="FEG5"/>
      <c r="FEH5"/>
      <c r="FEI5"/>
      <c r="FEJ5"/>
      <c r="FEK5"/>
      <c r="FEL5"/>
      <c r="FEM5"/>
      <c r="FEN5"/>
      <c r="FEO5"/>
      <c r="FEP5"/>
      <c r="FEQ5"/>
      <c r="FER5"/>
      <c r="FES5"/>
      <c r="FET5"/>
      <c r="FEU5"/>
      <c r="FEV5"/>
      <c r="FEW5"/>
      <c r="FEX5"/>
      <c r="FEY5"/>
      <c r="FEZ5"/>
      <c r="FFA5"/>
      <c r="FFB5"/>
      <c r="FFC5"/>
      <c r="FFD5"/>
      <c r="FFE5"/>
      <c r="FFF5"/>
      <c r="FFG5"/>
      <c r="FFH5"/>
      <c r="FFI5"/>
      <c r="FFJ5"/>
      <c r="FFK5"/>
      <c r="FFL5"/>
      <c r="FFM5"/>
      <c r="FFN5"/>
      <c r="FFO5"/>
      <c r="FFP5"/>
      <c r="FFQ5"/>
      <c r="FFR5"/>
      <c r="FFS5"/>
      <c r="FFT5"/>
      <c r="FFU5"/>
      <c r="FFV5"/>
      <c r="FFW5"/>
      <c r="FFX5"/>
      <c r="FFY5"/>
      <c r="FFZ5"/>
      <c r="FGA5"/>
      <c r="FGB5"/>
      <c r="FGC5"/>
      <c r="FGD5"/>
      <c r="FGE5"/>
      <c r="FGF5"/>
      <c r="FGG5"/>
      <c r="FGH5"/>
      <c r="FGI5"/>
      <c r="FGJ5"/>
      <c r="FGK5"/>
      <c r="FGL5"/>
      <c r="FGM5"/>
      <c r="FGN5"/>
      <c r="FGO5"/>
      <c r="FGP5"/>
      <c r="FGQ5"/>
      <c r="FGR5"/>
      <c r="FGS5"/>
      <c r="FGT5"/>
      <c r="FGU5"/>
      <c r="FGV5"/>
      <c r="FGW5"/>
      <c r="FGX5"/>
      <c r="FGY5"/>
      <c r="FGZ5"/>
      <c r="FHA5"/>
      <c r="FHB5"/>
      <c r="FHC5"/>
      <c r="FHD5"/>
      <c r="FHE5"/>
      <c r="FHF5"/>
      <c r="FHG5"/>
      <c r="FHH5"/>
      <c r="FHI5"/>
      <c r="FHJ5"/>
      <c r="FHK5"/>
      <c r="FHL5"/>
      <c r="FHM5"/>
      <c r="FHN5"/>
      <c r="FHO5"/>
      <c r="FHP5"/>
      <c r="FHQ5"/>
      <c r="FHR5"/>
      <c r="FHS5"/>
      <c r="FHT5"/>
      <c r="FHU5"/>
      <c r="FHV5"/>
      <c r="FHW5"/>
      <c r="FHX5"/>
      <c r="FHY5"/>
      <c r="FHZ5"/>
      <c r="FIA5"/>
      <c r="FIB5"/>
      <c r="FIC5"/>
      <c r="FID5"/>
      <c r="FIE5"/>
      <c r="FIF5"/>
      <c r="FIG5"/>
      <c r="FIH5"/>
      <c r="FII5"/>
      <c r="FIJ5"/>
      <c r="FIK5"/>
      <c r="FIL5"/>
      <c r="FIM5"/>
      <c r="FIN5"/>
      <c r="FIO5"/>
      <c r="FIP5"/>
      <c r="FIQ5"/>
      <c r="FIR5"/>
      <c r="FIS5"/>
      <c r="FIT5"/>
      <c r="FIU5"/>
      <c r="FIV5"/>
      <c r="FIW5"/>
      <c r="FIX5"/>
      <c r="FIY5"/>
      <c r="FIZ5"/>
      <c r="FJA5"/>
      <c r="FJB5"/>
      <c r="FJC5"/>
      <c r="FJD5"/>
      <c r="FJE5"/>
      <c r="FJF5"/>
      <c r="FJG5"/>
      <c r="FJH5"/>
      <c r="FJI5"/>
      <c r="FJJ5"/>
      <c r="FJK5"/>
      <c r="FJL5"/>
      <c r="FJM5"/>
      <c r="FJN5"/>
      <c r="FJO5"/>
      <c r="FJP5"/>
      <c r="FJQ5"/>
      <c r="FJR5"/>
      <c r="FJS5"/>
      <c r="FJT5"/>
      <c r="FJU5"/>
      <c r="FJV5"/>
      <c r="FJW5"/>
      <c r="FJX5"/>
      <c r="FJY5"/>
      <c r="FJZ5"/>
      <c r="FKA5"/>
      <c r="FKB5"/>
      <c r="FKC5"/>
      <c r="FKD5"/>
      <c r="FKE5"/>
      <c r="FKF5"/>
      <c r="FKG5"/>
      <c r="FKH5"/>
      <c r="FKI5"/>
      <c r="FKJ5"/>
      <c r="FKK5"/>
      <c r="FKL5"/>
      <c r="FKM5"/>
      <c r="FKN5"/>
      <c r="FKO5"/>
      <c r="FKP5"/>
      <c r="FKQ5"/>
      <c r="FKR5"/>
      <c r="FKS5"/>
      <c r="FKT5"/>
      <c r="FKU5"/>
      <c r="FKV5"/>
      <c r="FKW5"/>
      <c r="FKX5"/>
      <c r="FKY5"/>
      <c r="FKZ5"/>
      <c r="FLA5"/>
      <c r="FLB5"/>
      <c r="FLC5"/>
      <c r="FLD5"/>
      <c r="FLE5"/>
      <c r="FLF5"/>
      <c r="FLG5"/>
      <c r="FLH5"/>
      <c r="FLI5"/>
      <c r="FLJ5"/>
      <c r="FLK5"/>
      <c r="FLL5"/>
      <c r="FLM5"/>
      <c r="FLN5"/>
      <c r="FLO5"/>
      <c r="FLP5"/>
      <c r="FLQ5"/>
      <c r="FLR5"/>
      <c r="FLS5"/>
      <c r="FLT5"/>
      <c r="FLU5"/>
      <c r="FLV5"/>
      <c r="FLW5"/>
      <c r="FLX5"/>
      <c r="FLY5"/>
      <c r="FLZ5"/>
      <c r="FMA5"/>
      <c r="FMB5"/>
      <c r="FMC5"/>
      <c r="FMD5"/>
      <c r="FME5"/>
      <c r="FMF5"/>
      <c r="FMG5"/>
      <c r="FMH5"/>
      <c r="FMI5"/>
      <c r="FMJ5"/>
      <c r="FMK5"/>
      <c r="FML5"/>
      <c r="FMM5"/>
      <c r="FMN5"/>
      <c r="FMO5"/>
      <c r="FMP5"/>
      <c r="FMQ5"/>
      <c r="FMR5"/>
      <c r="FMS5"/>
      <c r="FMT5"/>
      <c r="FMU5"/>
      <c r="FMV5"/>
      <c r="FMW5"/>
      <c r="FMX5"/>
      <c r="FMY5"/>
      <c r="FMZ5"/>
      <c r="FNA5"/>
      <c r="FNB5"/>
      <c r="FNC5"/>
      <c r="FND5"/>
      <c r="FNE5"/>
      <c r="FNF5"/>
      <c r="FNG5"/>
      <c r="FNH5"/>
      <c r="FNI5"/>
      <c r="FNJ5"/>
      <c r="FNK5"/>
      <c r="FNL5"/>
      <c r="FNM5"/>
      <c r="FNN5"/>
      <c r="FNO5"/>
      <c r="FNP5"/>
      <c r="FNQ5"/>
      <c r="FNR5"/>
      <c r="FNS5"/>
      <c r="FNT5"/>
      <c r="FNU5"/>
      <c r="FNV5"/>
      <c r="FNW5"/>
      <c r="FNX5"/>
      <c r="FNY5"/>
      <c r="FNZ5"/>
      <c r="FOA5"/>
      <c r="FOB5"/>
      <c r="FOC5"/>
      <c r="FOD5"/>
      <c r="FOE5"/>
      <c r="FOF5"/>
      <c r="FOG5"/>
      <c r="FOH5"/>
      <c r="FOI5"/>
      <c r="FOJ5"/>
      <c r="FOK5"/>
      <c r="FOL5"/>
      <c r="FOM5"/>
      <c r="FON5"/>
      <c r="FOO5"/>
      <c r="FOP5"/>
      <c r="FOQ5"/>
      <c r="FOR5"/>
      <c r="FOS5"/>
      <c r="FOT5"/>
      <c r="FOU5"/>
      <c r="FOV5"/>
      <c r="FOW5"/>
      <c r="FOX5"/>
      <c r="FOY5"/>
      <c r="FOZ5"/>
      <c r="FPA5"/>
      <c r="FPB5"/>
      <c r="FPC5"/>
      <c r="FPD5"/>
      <c r="FPE5"/>
      <c r="FPF5"/>
      <c r="FPG5"/>
      <c r="FPH5"/>
      <c r="FPI5"/>
      <c r="FPJ5"/>
      <c r="FPK5"/>
      <c r="FPL5"/>
      <c r="FPM5"/>
      <c r="FPN5"/>
      <c r="FPO5"/>
      <c r="FPP5"/>
      <c r="FPQ5"/>
      <c r="FPR5"/>
      <c r="FPS5"/>
      <c r="FPT5"/>
      <c r="FPU5"/>
      <c r="FPV5"/>
      <c r="FPW5"/>
      <c r="FPX5"/>
      <c r="FPY5"/>
      <c r="FPZ5"/>
      <c r="FQA5"/>
      <c r="FQB5"/>
      <c r="FQC5"/>
      <c r="FQD5"/>
      <c r="FQE5"/>
      <c r="FQF5"/>
      <c r="FQG5"/>
      <c r="FQH5"/>
      <c r="FQI5"/>
      <c r="FQJ5"/>
      <c r="FQK5"/>
      <c r="FQL5"/>
      <c r="FQM5"/>
      <c r="FQN5"/>
      <c r="FQO5"/>
      <c r="FQP5"/>
      <c r="FQQ5"/>
      <c r="FQR5"/>
      <c r="FQS5"/>
      <c r="FQT5"/>
      <c r="FQU5"/>
      <c r="FQV5"/>
      <c r="FQW5"/>
      <c r="FQX5"/>
      <c r="FQY5"/>
      <c r="FQZ5"/>
      <c r="FRA5"/>
      <c r="FRB5"/>
      <c r="FRC5"/>
      <c r="FRD5"/>
      <c r="FRE5"/>
      <c r="FRF5"/>
      <c r="FRG5"/>
      <c r="FRH5"/>
      <c r="FRI5"/>
      <c r="FRJ5"/>
      <c r="FRK5"/>
      <c r="FRL5"/>
      <c r="FRM5"/>
      <c r="FRN5"/>
      <c r="FRO5"/>
      <c r="FRP5"/>
      <c r="FRQ5"/>
      <c r="FRR5"/>
      <c r="FRS5"/>
      <c r="FRT5"/>
      <c r="FRU5"/>
      <c r="FRV5"/>
      <c r="FRW5"/>
      <c r="FRX5"/>
      <c r="FRY5"/>
      <c r="FRZ5"/>
      <c r="FSA5"/>
      <c r="FSB5"/>
      <c r="FSC5"/>
      <c r="FSD5"/>
      <c r="FSE5"/>
      <c r="FSF5"/>
      <c r="FSG5"/>
      <c r="FSH5"/>
      <c r="FSI5"/>
      <c r="FSJ5"/>
      <c r="FSK5"/>
      <c r="FSL5"/>
      <c r="FSM5"/>
      <c r="FSN5"/>
      <c r="FSO5"/>
      <c r="FSP5"/>
      <c r="FSQ5"/>
      <c r="FSR5"/>
      <c r="FSS5"/>
      <c r="FST5"/>
      <c r="FSU5"/>
      <c r="FSV5"/>
      <c r="FSW5"/>
      <c r="FSX5"/>
      <c r="FSY5"/>
      <c r="FSZ5"/>
      <c r="FTA5"/>
      <c r="FTB5"/>
      <c r="FTC5"/>
      <c r="FTD5"/>
      <c r="FTE5"/>
      <c r="FTF5"/>
      <c r="FTG5"/>
      <c r="FTH5"/>
      <c r="FTI5"/>
      <c r="FTJ5"/>
      <c r="FTK5"/>
      <c r="FTL5"/>
      <c r="FTM5"/>
      <c r="FTN5"/>
      <c r="FTO5"/>
      <c r="FTP5"/>
      <c r="FTQ5"/>
      <c r="FTR5"/>
      <c r="FTS5"/>
      <c r="FTT5"/>
      <c r="FTU5"/>
      <c r="FTV5"/>
      <c r="FTW5"/>
      <c r="FTX5"/>
      <c r="FTY5"/>
      <c r="FTZ5"/>
      <c r="FUA5"/>
      <c r="FUB5"/>
      <c r="FUC5"/>
      <c r="FUD5"/>
      <c r="FUE5"/>
      <c r="FUF5"/>
      <c r="FUG5"/>
      <c r="FUH5"/>
      <c r="FUI5"/>
      <c r="FUJ5"/>
      <c r="FUK5"/>
      <c r="FUL5"/>
      <c r="FUM5"/>
      <c r="FUN5"/>
      <c r="FUO5"/>
      <c r="FUP5"/>
      <c r="FUQ5"/>
      <c r="FUR5"/>
      <c r="FUS5"/>
      <c r="FUT5"/>
      <c r="FUU5"/>
      <c r="FUV5"/>
      <c r="FUW5"/>
      <c r="FUX5"/>
      <c r="FUY5"/>
      <c r="FUZ5"/>
      <c r="FVA5"/>
      <c r="FVB5"/>
      <c r="FVC5"/>
      <c r="FVD5"/>
      <c r="FVE5"/>
      <c r="FVF5"/>
      <c r="FVG5"/>
      <c r="FVH5"/>
      <c r="FVI5"/>
      <c r="FVJ5"/>
      <c r="FVK5"/>
      <c r="FVL5"/>
      <c r="FVM5"/>
      <c r="FVN5"/>
      <c r="FVO5"/>
      <c r="FVP5"/>
      <c r="FVQ5"/>
      <c r="FVR5"/>
      <c r="FVS5"/>
      <c r="FVT5"/>
      <c r="FVU5"/>
      <c r="FVV5"/>
      <c r="FVW5"/>
      <c r="FVX5"/>
      <c r="FVY5"/>
      <c r="FVZ5"/>
      <c r="FWA5"/>
      <c r="FWB5"/>
      <c r="FWC5"/>
      <c r="FWD5"/>
      <c r="FWE5"/>
      <c r="FWF5"/>
      <c r="FWG5"/>
      <c r="FWH5"/>
      <c r="FWI5"/>
      <c r="FWJ5"/>
      <c r="FWK5"/>
      <c r="FWL5"/>
      <c r="FWM5"/>
      <c r="FWN5"/>
      <c r="FWO5"/>
      <c r="FWP5"/>
      <c r="FWQ5"/>
      <c r="FWR5"/>
      <c r="FWS5"/>
      <c r="FWT5"/>
      <c r="FWU5"/>
      <c r="FWV5"/>
      <c r="FWW5"/>
      <c r="FWX5"/>
      <c r="FWY5"/>
      <c r="FWZ5"/>
      <c r="FXA5"/>
      <c r="FXB5"/>
      <c r="FXC5"/>
      <c r="FXD5"/>
      <c r="FXE5"/>
      <c r="FXF5"/>
      <c r="FXG5"/>
      <c r="FXH5"/>
      <c r="FXI5"/>
      <c r="FXJ5"/>
      <c r="FXK5"/>
      <c r="FXL5"/>
      <c r="FXM5"/>
      <c r="FXN5"/>
      <c r="FXO5"/>
      <c r="FXP5"/>
      <c r="FXQ5"/>
      <c r="FXR5"/>
      <c r="FXS5"/>
      <c r="FXT5"/>
      <c r="FXU5"/>
      <c r="FXV5"/>
      <c r="FXW5"/>
      <c r="FXX5"/>
      <c r="FXY5"/>
      <c r="FXZ5"/>
      <c r="FYA5"/>
      <c r="FYB5"/>
      <c r="FYC5"/>
      <c r="FYD5"/>
      <c r="FYE5"/>
      <c r="FYF5"/>
      <c r="FYG5"/>
      <c r="FYH5"/>
      <c r="FYI5"/>
      <c r="FYJ5"/>
      <c r="FYK5"/>
      <c r="FYL5"/>
      <c r="FYM5"/>
      <c r="FYN5"/>
      <c r="FYO5"/>
      <c r="FYP5"/>
      <c r="FYQ5"/>
      <c r="FYR5"/>
      <c r="FYS5"/>
      <c r="FYT5"/>
      <c r="FYU5"/>
      <c r="FYV5"/>
      <c r="FYW5"/>
      <c r="FYX5"/>
      <c r="FYY5"/>
      <c r="FYZ5"/>
      <c r="FZA5"/>
      <c r="FZB5"/>
      <c r="FZC5"/>
      <c r="FZD5"/>
      <c r="FZE5"/>
      <c r="FZF5"/>
      <c r="FZG5"/>
      <c r="FZH5"/>
      <c r="FZI5"/>
      <c r="FZJ5"/>
      <c r="FZK5"/>
      <c r="FZL5"/>
      <c r="FZM5"/>
      <c r="FZN5"/>
      <c r="FZO5"/>
      <c r="FZP5"/>
      <c r="FZQ5"/>
      <c r="FZR5"/>
      <c r="FZS5"/>
      <c r="FZT5"/>
      <c r="FZU5"/>
      <c r="FZV5"/>
      <c r="FZW5"/>
      <c r="FZX5"/>
      <c r="FZY5"/>
      <c r="FZZ5"/>
      <c r="GAA5"/>
      <c r="GAB5"/>
      <c r="GAC5"/>
      <c r="GAD5"/>
      <c r="GAE5"/>
      <c r="GAF5"/>
      <c r="GAG5"/>
      <c r="GAH5"/>
      <c r="GAI5"/>
      <c r="GAJ5"/>
      <c r="GAK5"/>
      <c r="GAL5"/>
      <c r="GAM5"/>
      <c r="GAN5"/>
      <c r="GAO5"/>
      <c r="GAP5"/>
      <c r="GAQ5"/>
      <c r="GAR5"/>
      <c r="GAS5"/>
      <c r="GAT5"/>
      <c r="GAU5"/>
      <c r="GAV5"/>
      <c r="GAW5"/>
      <c r="GAX5"/>
      <c r="GAY5"/>
      <c r="GAZ5"/>
      <c r="GBA5"/>
      <c r="GBB5"/>
      <c r="GBC5"/>
      <c r="GBD5"/>
      <c r="GBE5"/>
      <c r="GBF5"/>
      <c r="GBG5"/>
      <c r="GBH5"/>
      <c r="GBI5"/>
      <c r="GBJ5"/>
      <c r="GBK5"/>
      <c r="GBL5"/>
      <c r="GBM5"/>
      <c r="GBN5"/>
      <c r="GBO5"/>
      <c r="GBP5"/>
      <c r="GBQ5"/>
      <c r="GBR5"/>
      <c r="GBS5"/>
      <c r="GBT5"/>
      <c r="GBU5"/>
      <c r="GBV5"/>
      <c r="GBW5"/>
      <c r="GBX5"/>
      <c r="GBY5"/>
      <c r="GBZ5"/>
      <c r="GCA5"/>
      <c r="GCB5"/>
      <c r="GCC5"/>
      <c r="GCD5"/>
      <c r="GCE5"/>
      <c r="GCF5"/>
      <c r="GCG5"/>
      <c r="GCH5"/>
      <c r="GCI5"/>
      <c r="GCJ5"/>
      <c r="GCK5"/>
      <c r="GCL5"/>
      <c r="GCM5"/>
      <c r="GCN5"/>
      <c r="GCO5"/>
      <c r="GCP5"/>
      <c r="GCQ5"/>
      <c r="GCR5"/>
      <c r="GCS5"/>
      <c r="GCT5"/>
      <c r="GCU5"/>
      <c r="GCV5"/>
      <c r="GCW5"/>
      <c r="GCX5"/>
      <c r="GCY5"/>
      <c r="GCZ5"/>
      <c r="GDA5"/>
      <c r="GDB5"/>
      <c r="GDC5"/>
      <c r="GDD5"/>
      <c r="GDE5"/>
      <c r="GDF5"/>
      <c r="GDG5"/>
      <c r="GDH5"/>
      <c r="GDI5"/>
      <c r="GDJ5"/>
      <c r="GDK5"/>
      <c r="GDL5"/>
      <c r="GDM5"/>
      <c r="GDN5"/>
      <c r="GDO5"/>
      <c r="GDP5"/>
      <c r="GDQ5"/>
      <c r="GDR5"/>
      <c r="GDS5"/>
      <c r="GDT5"/>
      <c r="GDU5"/>
      <c r="GDV5"/>
      <c r="GDW5"/>
      <c r="GDX5"/>
      <c r="GDY5"/>
      <c r="GDZ5"/>
      <c r="GEA5"/>
      <c r="GEB5"/>
      <c r="GEC5"/>
      <c r="GED5"/>
      <c r="GEE5"/>
      <c r="GEF5"/>
      <c r="GEG5"/>
      <c r="GEH5"/>
      <c r="GEI5"/>
      <c r="GEJ5"/>
      <c r="GEK5"/>
      <c r="GEL5"/>
      <c r="GEM5"/>
      <c r="GEN5"/>
      <c r="GEO5"/>
      <c r="GEP5"/>
      <c r="GEQ5"/>
      <c r="GER5"/>
      <c r="GES5"/>
      <c r="GET5"/>
      <c r="GEU5"/>
      <c r="GEV5"/>
      <c r="GEW5"/>
      <c r="GEX5"/>
      <c r="GEY5"/>
      <c r="GEZ5"/>
      <c r="GFA5"/>
      <c r="GFB5"/>
      <c r="GFC5"/>
      <c r="GFD5"/>
      <c r="GFE5"/>
      <c r="GFF5"/>
      <c r="GFG5"/>
      <c r="GFH5"/>
      <c r="GFI5"/>
      <c r="GFJ5"/>
      <c r="GFK5"/>
      <c r="GFL5"/>
      <c r="GFM5"/>
      <c r="GFN5"/>
      <c r="GFO5"/>
      <c r="GFP5"/>
      <c r="GFQ5"/>
      <c r="GFR5"/>
      <c r="GFS5"/>
      <c r="GFT5"/>
      <c r="GFU5"/>
      <c r="GFV5"/>
      <c r="GFW5"/>
      <c r="GFX5"/>
      <c r="GFY5"/>
      <c r="GFZ5"/>
      <c r="GGA5"/>
      <c r="GGB5"/>
      <c r="GGC5"/>
      <c r="GGD5"/>
      <c r="GGE5"/>
      <c r="GGF5"/>
      <c r="GGG5"/>
      <c r="GGH5"/>
      <c r="GGI5"/>
      <c r="GGJ5"/>
      <c r="GGK5"/>
      <c r="GGL5"/>
      <c r="GGM5"/>
      <c r="GGN5"/>
      <c r="GGO5"/>
      <c r="GGP5"/>
      <c r="GGQ5"/>
      <c r="GGR5"/>
      <c r="GGS5"/>
      <c r="GGT5"/>
      <c r="GGU5"/>
      <c r="GGV5"/>
      <c r="GGW5"/>
      <c r="GGX5"/>
      <c r="GGY5"/>
      <c r="GGZ5"/>
      <c r="GHA5"/>
      <c r="GHB5"/>
      <c r="GHC5"/>
      <c r="GHD5"/>
      <c r="GHE5"/>
      <c r="GHF5"/>
      <c r="GHG5"/>
      <c r="GHH5"/>
      <c r="GHI5"/>
      <c r="GHJ5"/>
      <c r="GHK5"/>
      <c r="GHL5"/>
      <c r="GHM5"/>
      <c r="GHN5"/>
      <c r="GHO5"/>
      <c r="GHP5"/>
      <c r="GHQ5"/>
      <c r="GHR5"/>
      <c r="GHS5"/>
      <c r="GHT5"/>
      <c r="GHU5"/>
      <c r="GHV5"/>
      <c r="GHW5"/>
      <c r="GHX5"/>
      <c r="GHY5"/>
      <c r="GHZ5"/>
      <c r="GIA5"/>
      <c r="GIB5"/>
      <c r="GIC5"/>
      <c r="GID5"/>
      <c r="GIE5"/>
      <c r="GIF5"/>
      <c r="GIG5"/>
      <c r="GIH5"/>
      <c r="GII5"/>
      <c r="GIJ5"/>
      <c r="GIK5"/>
      <c r="GIL5"/>
      <c r="GIM5"/>
      <c r="GIN5"/>
      <c r="GIO5"/>
      <c r="GIP5"/>
      <c r="GIQ5"/>
      <c r="GIR5"/>
      <c r="GIS5"/>
      <c r="GIT5"/>
      <c r="GIU5"/>
      <c r="GIV5"/>
      <c r="GIW5"/>
      <c r="GIX5"/>
      <c r="GIY5"/>
      <c r="GIZ5"/>
      <c r="GJA5"/>
      <c r="GJB5"/>
      <c r="GJC5"/>
      <c r="GJD5"/>
      <c r="GJE5"/>
      <c r="GJF5"/>
      <c r="GJG5"/>
      <c r="GJH5"/>
      <c r="GJI5"/>
      <c r="GJJ5"/>
      <c r="GJK5"/>
      <c r="GJL5"/>
      <c r="GJM5"/>
      <c r="GJN5"/>
      <c r="GJO5"/>
      <c r="GJP5"/>
      <c r="GJQ5"/>
      <c r="GJR5"/>
      <c r="GJS5"/>
      <c r="GJT5"/>
      <c r="GJU5"/>
      <c r="GJV5"/>
      <c r="GJW5"/>
      <c r="GJX5"/>
      <c r="GJY5"/>
      <c r="GJZ5"/>
      <c r="GKA5"/>
      <c r="GKB5"/>
      <c r="GKC5"/>
      <c r="GKD5"/>
      <c r="GKE5"/>
      <c r="GKF5"/>
      <c r="GKG5"/>
      <c r="GKH5"/>
      <c r="GKI5"/>
      <c r="GKJ5"/>
      <c r="GKK5"/>
      <c r="GKL5"/>
      <c r="GKM5"/>
      <c r="GKN5"/>
      <c r="GKO5"/>
      <c r="GKP5"/>
      <c r="GKQ5"/>
      <c r="GKR5"/>
      <c r="GKS5"/>
      <c r="GKT5"/>
      <c r="GKU5"/>
      <c r="GKV5"/>
      <c r="GKW5"/>
      <c r="GKX5"/>
      <c r="GKY5"/>
      <c r="GKZ5"/>
      <c r="GLA5"/>
      <c r="GLB5"/>
      <c r="GLC5"/>
      <c r="GLD5"/>
      <c r="GLE5"/>
      <c r="GLF5"/>
      <c r="GLG5"/>
      <c r="GLH5"/>
      <c r="GLI5"/>
      <c r="GLJ5"/>
      <c r="GLK5"/>
      <c r="GLL5"/>
      <c r="GLM5"/>
      <c r="GLN5"/>
      <c r="GLO5"/>
      <c r="GLP5"/>
      <c r="GLQ5"/>
      <c r="GLR5"/>
      <c r="GLS5"/>
      <c r="GLT5"/>
      <c r="GLU5"/>
      <c r="GLV5"/>
      <c r="GLW5"/>
      <c r="GLX5"/>
      <c r="GLY5"/>
      <c r="GLZ5"/>
      <c r="GMA5"/>
      <c r="GMB5"/>
      <c r="GMC5"/>
      <c r="GMD5"/>
      <c r="GME5"/>
      <c r="GMF5"/>
      <c r="GMG5"/>
      <c r="GMH5"/>
      <c r="GMI5"/>
      <c r="GMJ5"/>
      <c r="GMK5"/>
      <c r="GML5"/>
      <c r="GMM5"/>
      <c r="GMN5"/>
      <c r="GMO5"/>
      <c r="GMP5"/>
      <c r="GMQ5"/>
      <c r="GMR5"/>
      <c r="GMS5"/>
      <c r="GMT5"/>
      <c r="GMU5"/>
      <c r="GMV5"/>
      <c r="GMW5"/>
      <c r="GMX5"/>
      <c r="GMY5"/>
      <c r="GMZ5"/>
      <c r="GNA5"/>
      <c r="GNB5"/>
      <c r="GNC5"/>
      <c r="GND5"/>
      <c r="GNE5"/>
      <c r="GNF5"/>
      <c r="GNG5"/>
      <c r="GNH5"/>
      <c r="GNI5"/>
      <c r="GNJ5"/>
      <c r="GNK5"/>
      <c r="GNL5"/>
      <c r="GNM5"/>
      <c r="GNN5"/>
      <c r="GNO5"/>
      <c r="GNP5"/>
      <c r="GNQ5"/>
      <c r="GNR5"/>
      <c r="GNS5"/>
      <c r="GNT5"/>
      <c r="GNU5"/>
      <c r="GNV5"/>
      <c r="GNW5"/>
      <c r="GNX5"/>
      <c r="GNY5"/>
      <c r="GNZ5"/>
      <c r="GOA5"/>
      <c r="GOB5"/>
      <c r="GOC5"/>
      <c r="GOD5"/>
      <c r="GOE5"/>
      <c r="GOF5"/>
      <c r="GOG5"/>
      <c r="GOH5"/>
      <c r="GOI5"/>
      <c r="GOJ5"/>
      <c r="GOK5"/>
      <c r="GOL5"/>
      <c r="GOM5"/>
      <c r="GON5"/>
      <c r="GOO5"/>
      <c r="GOP5"/>
      <c r="GOQ5"/>
      <c r="GOR5"/>
      <c r="GOS5"/>
      <c r="GOT5"/>
      <c r="GOU5"/>
      <c r="GOV5"/>
      <c r="GOW5"/>
      <c r="GOX5"/>
      <c r="GOY5"/>
      <c r="GOZ5"/>
      <c r="GPA5"/>
      <c r="GPB5"/>
      <c r="GPC5"/>
      <c r="GPD5"/>
      <c r="GPE5"/>
      <c r="GPF5"/>
      <c r="GPG5"/>
      <c r="GPH5"/>
      <c r="GPI5"/>
      <c r="GPJ5"/>
      <c r="GPK5"/>
      <c r="GPL5"/>
      <c r="GPM5"/>
      <c r="GPN5"/>
      <c r="GPO5"/>
      <c r="GPP5"/>
      <c r="GPQ5"/>
      <c r="GPR5"/>
      <c r="GPS5"/>
      <c r="GPT5"/>
      <c r="GPU5"/>
      <c r="GPV5"/>
      <c r="GPW5"/>
      <c r="GPX5"/>
      <c r="GPY5"/>
      <c r="GPZ5"/>
      <c r="GQA5"/>
      <c r="GQB5"/>
      <c r="GQC5"/>
      <c r="GQD5"/>
      <c r="GQE5"/>
      <c r="GQF5"/>
      <c r="GQG5"/>
      <c r="GQH5"/>
      <c r="GQI5"/>
      <c r="GQJ5"/>
      <c r="GQK5"/>
      <c r="GQL5"/>
      <c r="GQM5"/>
      <c r="GQN5"/>
      <c r="GQO5"/>
      <c r="GQP5"/>
      <c r="GQQ5"/>
      <c r="GQR5"/>
      <c r="GQS5"/>
      <c r="GQT5"/>
      <c r="GQU5"/>
      <c r="GQV5"/>
      <c r="GQW5"/>
      <c r="GQX5"/>
      <c r="GQY5"/>
      <c r="GQZ5"/>
      <c r="GRA5"/>
      <c r="GRB5"/>
      <c r="GRC5"/>
      <c r="GRD5"/>
      <c r="GRE5"/>
      <c r="GRF5"/>
      <c r="GRG5"/>
      <c r="GRH5"/>
      <c r="GRI5"/>
      <c r="GRJ5"/>
      <c r="GRK5"/>
      <c r="GRL5"/>
      <c r="GRM5"/>
      <c r="GRN5"/>
      <c r="GRO5"/>
      <c r="GRP5"/>
      <c r="GRQ5"/>
      <c r="GRR5"/>
      <c r="GRS5"/>
      <c r="GRT5"/>
      <c r="GRU5"/>
      <c r="GRV5"/>
      <c r="GRW5"/>
      <c r="GRX5"/>
      <c r="GRY5"/>
      <c r="GRZ5"/>
      <c r="GSA5"/>
      <c r="GSB5"/>
      <c r="GSC5"/>
      <c r="GSD5"/>
      <c r="GSE5"/>
      <c r="GSF5"/>
      <c r="GSG5"/>
      <c r="GSH5"/>
      <c r="GSI5"/>
      <c r="GSJ5"/>
      <c r="GSK5"/>
      <c r="GSL5"/>
      <c r="GSM5"/>
      <c r="GSN5"/>
      <c r="GSO5"/>
      <c r="GSP5"/>
      <c r="GSQ5"/>
      <c r="GSR5"/>
      <c r="GSS5"/>
      <c r="GST5"/>
      <c r="GSU5"/>
      <c r="GSV5"/>
      <c r="GSW5"/>
      <c r="GSX5"/>
      <c r="GSY5"/>
      <c r="GSZ5"/>
      <c r="GTA5"/>
      <c r="GTB5"/>
      <c r="GTC5"/>
      <c r="GTD5"/>
      <c r="GTE5"/>
      <c r="GTF5"/>
      <c r="GTG5"/>
      <c r="GTH5"/>
      <c r="GTI5"/>
      <c r="GTJ5"/>
      <c r="GTK5"/>
      <c r="GTL5"/>
      <c r="GTM5"/>
      <c r="GTN5"/>
      <c r="GTO5"/>
      <c r="GTP5"/>
      <c r="GTQ5"/>
      <c r="GTR5"/>
      <c r="GTS5"/>
      <c r="GTT5"/>
      <c r="GTU5"/>
      <c r="GTV5"/>
      <c r="GTW5"/>
      <c r="GTX5"/>
      <c r="GTY5"/>
      <c r="GTZ5"/>
      <c r="GUA5"/>
      <c r="GUB5"/>
      <c r="GUC5"/>
      <c r="GUD5"/>
      <c r="GUE5"/>
      <c r="GUF5"/>
      <c r="GUG5"/>
      <c r="GUH5"/>
      <c r="GUI5"/>
      <c r="GUJ5"/>
      <c r="GUK5"/>
      <c r="GUL5"/>
      <c r="GUM5"/>
      <c r="GUN5"/>
      <c r="GUO5"/>
      <c r="GUP5"/>
      <c r="GUQ5"/>
      <c r="GUR5"/>
      <c r="GUS5"/>
      <c r="GUT5"/>
      <c r="GUU5"/>
      <c r="GUV5"/>
      <c r="GUW5"/>
      <c r="GUX5"/>
      <c r="GUY5"/>
      <c r="GUZ5"/>
      <c r="GVA5"/>
      <c r="GVB5"/>
      <c r="GVC5"/>
      <c r="GVD5"/>
      <c r="GVE5"/>
      <c r="GVF5"/>
      <c r="GVG5"/>
      <c r="GVH5"/>
      <c r="GVI5"/>
      <c r="GVJ5"/>
      <c r="GVK5"/>
      <c r="GVL5"/>
      <c r="GVM5"/>
      <c r="GVN5"/>
      <c r="GVO5"/>
      <c r="GVP5"/>
      <c r="GVQ5"/>
      <c r="GVR5"/>
      <c r="GVS5"/>
      <c r="GVT5"/>
      <c r="GVU5"/>
      <c r="GVV5"/>
      <c r="GVW5"/>
      <c r="GVX5"/>
      <c r="GVY5"/>
      <c r="GVZ5"/>
      <c r="GWA5"/>
      <c r="GWB5"/>
      <c r="GWC5"/>
      <c r="GWD5"/>
      <c r="GWE5"/>
      <c r="GWF5"/>
      <c r="GWG5"/>
      <c r="GWH5"/>
      <c r="GWI5"/>
      <c r="GWJ5"/>
      <c r="GWK5"/>
      <c r="GWL5"/>
      <c r="GWM5"/>
      <c r="GWN5"/>
      <c r="GWO5"/>
      <c r="GWP5"/>
      <c r="GWQ5"/>
      <c r="GWR5"/>
      <c r="GWS5"/>
      <c r="GWT5"/>
      <c r="GWU5"/>
      <c r="GWV5"/>
      <c r="GWW5"/>
      <c r="GWX5"/>
      <c r="GWY5"/>
      <c r="GWZ5"/>
      <c r="GXA5"/>
      <c r="GXB5"/>
      <c r="GXC5"/>
      <c r="GXD5"/>
      <c r="GXE5"/>
      <c r="GXF5"/>
      <c r="GXG5"/>
      <c r="GXH5"/>
      <c r="GXI5"/>
      <c r="GXJ5"/>
      <c r="GXK5"/>
      <c r="GXL5"/>
      <c r="GXM5"/>
      <c r="GXN5"/>
      <c r="GXO5"/>
      <c r="GXP5"/>
      <c r="GXQ5"/>
      <c r="GXR5"/>
      <c r="GXS5"/>
      <c r="GXT5"/>
      <c r="GXU5"/>
      <c r="GXV5"/>
      <c r="GXW5"/>
      <c r="GXX5"/>
      <c r="GXY5"/>
      <c r="GXZ5"/>
      <c r="GYA5"/>
      <c r="GYB5"/>
      <c r="GYC5"/>
      <c r="GYD5"/>
      <c r="GYE5"/>
      <c r="GYF5"/>
      <c r="GYG5"/>
      <c r="GYH5"/>
      <c r="GYI5"/>
      <c r="GYJ5"/>
      <c r="GYK5"/>
      <c r="GYL5"/>
      <c r="GYM5"/>
      <c r="GYN5"/>
      <c r="GYO5"/>
      <c r="GYP5"/>
      <c r="GYQ5"/>
      <c r="GYR5"/>
      <c r="GYS5"/>
      <c r="GYT5"/>
      <c r="GYU5"/>
      <c r="GYV5"/>
      <c r="GYW5"/>
      <c r="GYX5"/>
      <c r="GYY5"/>
      <c r="GYZ5"/>
      <c r="GZA5"/>
      <c r="GZB5"/>
      <c r="GZC5"/>
      <c r="GZD5"/>
      <c r="GZE5"/>
      <c r="GZF5"/>
      <c r="GZG5"/>
      <c r="GZH5"/>
      <c r="GZI5"/>
      <c r="GZJ5"/>
      <c r="GZK5"/>
      <c r="GZL5"/>
      <c r="GZM5"/>
      <c r="GZN5"/>
      <c r="GZO5"/>
      <c r="GZP5"/>
      <c r="GZQ5"/>
      <c r="GZR5"/>
      <c r="GZS5"/>
      <c r="GZT5"/>
      <c r="GZU5"/>
      <c r="GZV5"/>
      <c r="GZW5"/>
      <c r="GZX5"/>
      <c r="GZY5"/>
      <c r="GZZ5"/>
      <c r="HAA5"/>
      <c r="HAB5"/>
      <c r="HAC5"/>
      <c r="HAD5"/>
      <c r="HAE5"/>
      <c r="HAF5"/>
      <c r="HAG5"/>
      <c r="HAH5"/>
      <c r="HAI5"/>
      <c r="HAJ5"/>
      <c r="HAK5"/>
      <c r="HAL5"/>
      <c r="HAM5"/>
      <c r="HAN5"/>
      <c r="HAO5"/>
      <c r="HAP5"/>
      <c r="HAQ5"/>
      <c r="HAR5"/>
      <c r="HAS5"/>
      <c r="HAT5"/>
      <c r="HAU5"/>
      <c r="HAV5"/>
      <c r="HAW5"/>
      <c r="HAX5"/>
      <c r="HAY5"/>
      <c r="HAZ5"/>
      <c r="HBA5"/>
      <c r="HBB5"/>
      <c r="HBC5"/>
      <c r="HBD5"/>
      <c r="HBE5"/>
      <c r="HBF5"/>
      <c r="HBG5"/>
      <c r="HBH5"/>
      <c r="HBI5"/>
      <c r="HBJ5"/>
      <c r="HBK5"/>
      <c r="HBL5"/>
      <c r="HBM5"/>
      <c r="HBN5"/>
      <c r="HBO5"/>
      <c r="HBP5"/>
      <c r="HBQ5"/>
      <c r="HBR5"/>
      <c r="HBS5"/>
      <c r="HBT5"/>
      <c r="HBU5"/>
      <c r="HBV5"/>
      <c r="HBW5"/>
      <c r="HBX5"/>
      <c r="HBY5"/>
      <c r="HBZ5"/>
      <c r="HCA5"/>
      <c r="HCB5"/>
      <c r="HCC5"/>
      <c r="HCD5"/>
      <c r="HCE5"/>
      <c r="HCF5"/>
      <c r="HCG5"/>
      <c r="HCH5"/>
      <c r="HCI5"/>
      <c r="HCJ5"/>
      <c r="HCK5"/>
      <c r="HCL5"/>
      <c r="HCM5"/>
      <c r="HCN5"/>
      <c r="HCO5"/>
      <c r="HCP5"/>
      <c r="HCQ5"/>
      <c r="HCR5"/>
      <c r="HCS5"/>
      <c r="HCT5"/>
      <c r="HCU5"/>
      <c r="HCV5"/>
      <c r="HCW5"/>
      <c r="HCX5"/>
      <c r="HCY5"/>
      <c r="HCZ5"/>
      <c r="HDA5"/>
      <c r="HDB5"/>
      <c r="HDC5"/>
      <c r="HDD5"/>
      <c r="HDE5"/>
      <c r="HDF5"/>
      <c r="HDG5"/>
      <c r="HDH5"/>
      <c r="HDI5"/>
      <c r="HDJ5"/>
      <c r="HDK5"/>
      <c r="HDL5"/>
      <c r="HDM5"/>
      <c r="HDN5"/>
      <c r="HDO5"/>
      <c r="HDP5"/>
      <c r="HDQ5"/>
      <c r="HDR5"/>
      <c r="HDS5"/>
      <c r="HDT5"/>
      <c r="HDU5"/>
      <c r="HDV5"/>
      <c r="HDW5"/>
      <c r="HDX5"/>
      <c r="HDY5"/>
      <c r="HDZ5"/>
      <c r="HEA5"/>
      <c r="HEB5"/>
      <c r="HEC5"/>
      <c r="HED5"/>
      <c r="HEE5"/>
      <c r="HEF5"/>
      <c r="HEG5"/>
      <c r="HEH5"/>
      <c r="HEI5"/>
      <c r="HEJ5"/>
      <c r="HEK5"/>
      <c r="HEL5"/>
      <c r="HEM5"/>
      <c r="HEN5"/>
      <c r="HEO5"/>
      <c r="HEP5"/>
      <c r="HEQ5"/>
      <c r="HER5"/>
      <c r="HES5"/>
      <c r="HET5"/>
      <c r="HEU5"/>
      <c r="HEV5"/>
      <c r="HEW5"/>
      <c r="HEX5"/>
      <c r="HEY5"/>
      <c r="HEZ5"/>
      <c r="HFA5"/>
      <c r="HFB5"/>
      <c r="HFC5"/>
      <c r="HFD5"/>
      <c r="HFE5"/>
      <c r="HFF5"/>
      <c r="HFG5"/>
      <c r="HFH5"/>
      <c r="HFI5"/>
      <c r="HFJ5"/>
      <c r="HFK5"/>
      <c r="HFL5"/>
      <c r="HFM5"/>
      <c r="HFN5"/>
      <c r="HFO5"/>
      <c r="HFP5"/>
      <c r="HFQ5"/>
      <c r="HFR5"/>
      <c r="HFS5"/>
      <c r="HFT5"/>
      <c r="HFU5"/>
      <c r="HFV5"/>
      <c r="HFW5"/>
      <c r="HFX5"/>
      <c r="HFY5"/>
      <c r="HFZ5"/>
      <c r="HGA5"/>
      <c r="HGB5"/>
      <c r="HGC5"/>
      <c r="HGD5"/>
      <c r="HGE5"/>
      <c r="HGF5"/>
      <c r="HGG5"/>
      <c r="HGH5"/>
      <c r="HGI5"/>
      <c r="HGJ5"/>
      <c r="HGK5"/>
      <c r="HGL5"/>
      <c r="HGM5"/>
      <c r="HGN5"/>
      <c r="HGO5"/>
      <c r="HGP5"/>
      <c r="HGQ5"/>
      <c r="HGR5"/>
      <c r="HGS5"/>
      <c r="HGT5"/>
      <c r="HGU5"/>
      <c r="HGV5"/>
      <c r="HGW5"/>
      <c r="HGX5"/>
      <c r="HGY5"/>
      <c r="HGZ5"/>
      <c r="HHA5"/>
      <c r="HHB5"/>
      <c r="HHC5"/>
      <c r="HHD5"/>
      <c r="HHE5"/>
      <c r="HHF5"/>
      <c r="HHG5"/>
      <c r="HHH5"/>
      <c r="HHI5"/>
      <c r="HHJ5"/>
      <c r="HHK5"/>
      <c r="HHL5"/>
      <c r="HHM5"/>
      <c r="HHN5"/>
      <c r="HHO5"/>
      <c r="HHP5"/>
      <c r="HHQ5"/>
      <c r="HHR5"/>
      <c r="HHS5"/>
      <c r="HHT5"/>
      <c r="HHU5"/>
      <c r="HHV5"/>
      <c r="HHW5"/>
      <c r="HHX5"/>
      <c r="HHY5"/>
      <c r="HHZ5"/>
      <c r="HIA5"/>
      <c r="HIB5"/>
      <c r="HIC5"/>
      <c r="HID5"/>
      <c r="HIE5"/>
      <c r="HIF5"/>
      <c r="HIG5"/>
      <c r="HIH5"/>
      <c r="HII5"/>
      <c r="HIJ5"/>
      <c r="HIK5"/>
      <c r="HIL5"/>
      <c r="HIM5"/>
      <c r="HIN5"/>
      <c r="HIO5"/>
      <c r="HIP5"/>
      <c r="HIQ5"/>
      <c r="HIR5"/>
      <c r="HIS5"/>
      <c r="HIT5"/>
      <c r="HIU5"/>
      <c r="HIV5"/>
      <c r="HIW5"/>
      <c r="HIX5"/>
      <c r="HIY5"/>
      <c r="HIZ5"/>
      <c r="HJA5"/>
      <c r="HJB5"/>
      <c r="HJC5"/>
      <c r="HJD5"/>
      <c r="HJE5"/>
      <c r="HJF5"/>
      <c r="HJG5"/>
      <c r="HJH5"/>
      <c r="HJI5"/>
      <c r="HJJ5"/>
      <c r="HJK5"/>
      <c r="HJL5"/>
      <c r="HJM5"/>
      <c r="HJN5"/>
      <c r="HJO5"/>
      <c r="HJP5"/>
      <c r="HJQ5"/>
      <c r="HJR5"/>
      <c r="HJS5"/>
      <c r="HJT5"/>
      <c r="HJU5"/>
      <c r="HJV5"/>
      <c r="HJW5"/>
      <c r="HJX5"/>
      <c r="HJY5"/>
      <c r="HJZ5"/>
      <c r="HKA5"/>
      <c r="HKB5"/>
      <c r="HKC5"/>
      <c r="HKD5"/>
      <c r="HKE5"/>
      <c r="HKF5"/>
      <c r="HKG5"/>
      <c r="HKH5"/>
      <c r="HKI5"/>
      <c r="HKJ5"/>
      <c r="HKK5"/>
      <c r="HKL5"/>
      <c r="HKM5"/>
      <c r="HKN5"/>
      <c r="HKO5"/>
      <c r="HKP5"/>
      <c r="HKQ5"/>
      <c r="HKR5"/>
      <c r="HKS5"/>
      <c r="HKT5"/>
      <c r="HKU5"/>
      <c r="HKV5"/>
      <c r="HKW5"/>
      <c r="HKX5"/>
      <c r="HKY5"/>
      <c r="HKZ5"/>
      <c r="HLA5"/>
      <c r="HLB5"/>
      <c r="HLC5"/>
      <c r="HLD5"/>
      <c r="HLE5"/>
      <c r="HLF5"/>
      <c r="HLG5"/>
      <c r="HLH5"/>
      <c r="HLI5"/>
      <c r="HLJ5"/>
      <c r="HLK5"/>
      <c r="HLL5"/>
      <c r="HLM5"/>
      <c r="HLN5"/>
      <c r="HLO5"/>
      <c r="HLP5"/>
      <c r="HLQ5"/>
      <c r="HLR5"/>
      <c r="HLS5"/>
      <c r="HLT5"/>
      <c r="HLU5"/>
      <c r="HLV5"/>
      <c r="HLW5"/>
      <c r="HLX5"/>
      <c r="HLY5"/>
      <c r="HLZ5"/>
      <c r="HMA5"/>
      <c r="HMB5"/>
      <c r="HMC5"/>
      <c r="HMD5"/>
      <c r="HME5"/>
      <c r="HMF5"/>
      <c r="HMG5"/>
      <c r="HMH5"/>
      <c r="HMI5"/>
      <c r="HMJ5"/>
      <c r="HMK5"/>
      <c r="HML5"/>
      <c r="HMM5"/>
      <c r="HMN5"/>
      <c r="HMO5"/>
      <c r="HMP5"/>
      <c r="HMQ5"/>
      <c r="HMR5"/>
      <c r="HMS5"/>
      <c r="HMT5"/>
      <c r="HMU5"/>
      <c r="HMV5"/>
      <c r="HMW5"/>
      <c r="HMX5"/>
      <c r="HMY5"/>
      <c r="HMZ5"/>
      <c r="HNA5"/>
      <c r="HNB5"/>
      <c r="HNC5"/>
      <c r="HND5"/>
      <c r="HNE5"/>
      <c r="HNF5"/>
      <c r="HNG5"/>
      <c r="HNH5"/>
      <c r="HNI5"/>
      <c r="HNJ5"/>
      <c r="HNK5"/>
      <c r="HNL5"/>
      <c r="HNM5"/>
      <c r="HNN5"/>
      <c r="HNO5"/>
      <c r="HNP5"/>
      <c r="HNQ5"/>
      <c r="HNR5"/>
      <c r="HNS5"/>
      <c r="HNT5"/>
      <c r="HNU5"/>
      <c r="HNV5"/>
      <c r="HNW5"/>
      <c r="HNX5"/>
      <c r="HNY5"/>
      <c r="HNZ5"/>
      <c r="HOA5"/>
      <c r="HOB5"/>
      <c r="HOC5"/>
      <c r="HOD5"/>
      <c r="HOE5"/>
      <c r="HOF5"/>
      <c r="HOG5"/>
      <c r="HOH5"/>
      <c r="HOI5"/>
      <c r="HOJ5"/>
      <c r="HOK5"/>
      <c r="HOL5"/>
      <c r="HOM5"/>
      <c r="HON5"/>
      <c r="HOO5"/>
      <c r="HOP5"/>
      <c r="HOQ5"/>
      <c r="HOR5"/>
      <c r="HOS5"/>
      <c r="HOT5"/>
      <c r="HOU5"/>
      <c r="HOV5"/>
      <c r="HOW5"/>
      <c r="HOX5"/>
      <c r="HOY5"/>
      <c r="HOZ5"/>
      <c r="HPA5"/>
      <c r="HPB5"/>
      <c r="HPC5"/>
      <c r="HPD5"/>
      <c r="HPE5"/>
      <c r="HPF5"/>
      <c r="HPG5"/>
      <c r="HPH5"/>
      <c r="HPI5"/>
      <c r="HPJ5"/>
      <c r="HPK5"/>
      <c r="HPL5"/>
      <c r="HPM5"/>
      <c r="HPN5"/>
      <c r="HPO5"/>
      <c r="HPP5"/>
      <c r="HPQ5"/>
      <c r="HPR5"/>
      <c r="HPS5"/>
      <c r="HPT5"/>
      <c r="HPU5"/>
      <c r="HPV5"/>
      <c r="HPW5"/>
      <c r="HPX5"/>
      <c r="HPY5"/>
      <c r="HPZ5"/>
      <c r="HQA5"/>
      <c r="HQB5"/>
      <c r="HQC5"/>
      <c r="HQD5"/>
      <c r="HQE5"/>
      <c r="HQF5"/>
      <c r="HQG5"/>
      <c r="HQH5"/>
      <c r="HQI5"/>
      <c r="HQJ5"/>
      <c r="HQK5"/>
      <c r="HQL5"/>
      <c r="HQM5"/>
      <c r="HQN5"/>
      <c r="HQO5"/>
      <c r="HQP5"/>
      <c r="HQQ5"/>
      <c r="HQR5"/>
      <c r="HQS5"/>
      <c r="HQT5"/>
      <c r="HQU5"/>
      <c r="HQV5"/>
      <c r="HQW5"/>
      <c r="HQX5"/>
      <c r="HQY5"/>
      <c r="HQZ5"/>
      <c r="HRA5"/>
      <c r="HRB5"/>
      <c r="HRC5"/>
      <c r="HRD5"/>
      <c r="HRE5"/>
      <c r="HRF5"/>
      <c r="HRG5"/>
      <c r="HRH5"/>
      <c r="HRI5"/>
      <c r="HRJ5"/>
      <c r="HRK5"/>
      <c r="HRL5"/>
      <c r="HRM5"/>
      <c r="HRN5"/>
      <c r="HRO5"/>
      <c r="HRP5"/>
      <c r="HRQ5"/>
      <c r="HRR5"/>
      <c r="HRS5"/>
      <c r="HRT5"/>
      <c r="HRU5"/>
      <c r="HRV5"/>
      <c r="HRW5"/>
      <c r="HRX5"/>
      <c r="HRY5"/>
      <c r="HRZ5"/>
      <c r="HSA5"/>
      <c r="HSB5"/>
      <c r="HSC5"/>
      <c r="HSD5"/>
      <c r="HSE5"/>
      <c r="HSF5"/>
      <c r="HSG5"/>
      <c r="HSH5"/>
      <c r="HSI5"/>
      <c r="HSJ5"/>
      <c r="HSK5"/>
      <c r="HSL5"/>
      <c r="HSM5"/>
      <c r="HSN5"/>
      <c r="HSO5"/>
      <c r="HSP5"/>
      <c r="HSQ5"/>
      <c r="HSR5"/>
      <c r="HSS5"/>
      <c r="HST5"/>
      <c r="HSU5"/>
      <c r="HSV5"/>
      <c r="HSW5"/>
      <c r="HSX5"/>
      <c r="HSY5"/>
      <c r="HSZ5"/>
      <c r="HTA5"/>
      <c r="HTB5"/>
      <c r="HTC5"/>
      <c r="HTD5"/>
      <c r="HTE5"/>
      <c r="HTF5"/>
      <c r="HTG5"/>
      <c r="HTH5"/>
      <c r="HTI5"/>
      <c r="HTJ5"/>
      <c r="HTK5"/>
      <c r="HTL5"/>
      <c r="HTM5"/>
      <c r="HTN5"/>
      <c r="HTO5"/>
      <c r="HTP5"/>
      <c r="HTQ5"/>
      <c r="HTR5"/>
      <c r="HTS5"/>
      <c r="HTT5"/>
      <c r="HTU5"/>
      <c r="HTV5"/>
      <c r="HTW5"/>
      <c r="HTX5"/>
      <c r="HTY5"/>
      <c r="HTZ5"/>
      <c r="HUA5"/>
      <c r="HUB5"/>
      <c r="HUC5"/>
      <c r="HUD5"/>
      <c r="HUE5"/>
      <c r="HUF5"/>
      <c r="HUG5"/>
      <c r="HUH5"/>
      <c r="HUI5"/>
      <c r="HUJ5"/>
      <c r="HUK5"/>
      <c r="HUL5"/>
      <c r="HUM5"/>
      <c r="HUN5"/>
      <c r="HUO5"/>
      <c r="HUP5"/>
      <c r="HUQ5"/>
      <c r="HUR5"/>
      <c r="HUS5"/>
      <c r="HUT5"/>
      <c r="HUU5"/>
      <c r="HUV5"/>
      <c r="HUW5"/>
      <c r="HUX5"/>
      <c r="HUY5"/>
      <c r="HUZ5"/>
      <c r="HVA5"/>
      <c r="HVB5"/>
      <c r="HVC5"/>
      <c r="HVD5"/>
      <c r="HVE5"/>
      <c r="HVF5"/>
      <c r="HVG5"/>
      <c r="HVH5"/>
      <c r="HVI5"/>
      <c r="HVJ5"/>
      <c r="HVK5"/>
      <c r="HVL5"/>
      <c r="HVM5"/>
      <c r="HVN5"/>
      <c r="HVO5"/>
      <c r="HVP5"/>
      <c r="HVQ5"/>
      <c r="HVR5"/>
      <c r="HVS5"/>
      <c r="HVT5"/>
      <c r="HVU5"/>
      <c r="HVV5"/>
      <c r="HVW5"/>
      <c r="HVX5"/>
      <c r="HVY5"/>
      <c r="HVZ5"/>
      <c r="HWA5"/>
      <c r="HWB5"/>
      <c r="HWC5"/>
      <c r="HWD5"/>
      <c r="HWE5"/>
      <c r="HWF5"/>
      <c r="HWG5"/>
      <c r="HWH5"/>
      <c r="HWI5"/>
      <c r="HWJ5"/>
      <c r="HWK5"/>
      <c r="HWL5"/>
      <c r="HWM5"/>
      <c r="HWN5"/>
      <c r="HWO5"/>
      <c r="HWP5"/>
      <c r="HWQ5"/>
      <c r="HWR5"/>
      <c r="HWS5"/>
      <c r="HWT5"/>
      <c r="HWU5"/>
      <c r="HWV5"/>
      <c r="HWW5"/>
      <c r="HWX5"/>
      <c r="HWY5"/>
      <c r="HWZ5"/>
      <c r="HXA5"/>
      <c r="HXB5"/>
      <c r="HXC5"/>
      <c r="HXD5"/>
      <c r="HXE5"/>
      <c r="HXF5"/>
      <c r="HXG5"/>
      <c r="HXH5"/>
      <c r="HXI5"/>
      <c r="HXJ5"/>
      <c r="HXK5"/>
      <c r="HXL5"/>
      <c r="HXM5"/>
      <c r="HXN5"/>
      <c r="HXO5"/>
      <c r="HXP5"/>
      <c r="HXQ5"/>
      <c r="HXR5"/>
      <c r="HXS5"/>
      <c r="HXT5"/>
      <c r="HXU5"/>
      <c r="HXV5"/>
      <c r="HXW5"/>
      <c r="HXX5"/>
      <c r="HXY5"/>
      <c r="HXZ5"/>
      <c r="HYA5"/>
      <c r="HYB5"/>
      <c r="HYC5"/>
      <c r="HYD5"/>
      <c r="HYE5"/>
      <c r="HYF5"/>
      <c r="HYG5"/>
      <c r="HYH5"/>
      <c r="HYI5"/>
      <c r="HYJ5"/>
      <c r="HYK5"/>
      <c r="HYL5"/>
      <c r="HYM5"/>
      <c r="HYN5"/>
      <c r="HYO5"/>
      <c r="HYP5"/>
      <c r="HYQ5"/>
      <c r="HYR5"/>
      <c r="HYS5"/>
      <c r="HYT5"/>
      <c r="HYU5"/>
      <c r="HYV5"/>
      <c r="HYW5"/>
      <c r="HYX5"/>
      <c r="HYY5"/>
      <c r="HYZ5"/>
      <c r="HZA5"/>
      <c r="HZB5"/>
      <c r="HZC5"/>
      <c r="HZD5"/>
      <c r="HZE5"/>
      <c r="HZF5"/>
      <c r="HZG5"/>
      <c r="HZH5"/>
      <c r="HZI5"/>
      <c r="HZJ5"/>
      <c r="HZK5"/>
      <c r="HZL5"/>
      <c r="HZM5"/>
      <c r="HZN5"/>
      <c r="HZO5"/>
      <c r="HZP5"/>
      <c r="HZQ5"/>
      <c r="HZR5"/>
      <c r="HZS5"/>
      <c r="HZT5"/>
      <c r="HZU5"/>
      <c r="HZV5"/>
      <c r="HZW5"/>
      <c r="HZX5"/>
      <c r="HZY5"/>
      <c r="HZZ5"/>
      <c r="IAA5"/>
      <c r="IAB5"/>
      <c r="IAC5"/>
      <c r="IAD5"/>
      <c r="IAE5"/>
      <c r="IAF5"/>
      <c r="IAG5"/>
      <c r="IAH5"/>
      <c r="IAI5"/>
      <c r="IAJ5"/>
      <c r="IAK5"/>
      <c r="IAL5"/>
      <c r="IAM5"/>
      <c r="IAN5"/>
      <c r="IAO5"/>
      <c r="IAP5"/>
      <c r="IAQ5"/>
      <c r="IAR5"/>
      <c r="IAS5"/>
      <c r="IAT5"/>
      <c r="IAU5"/>
      <c r="IAV5"/>
      <c r="IAW5"/>
      <c r="IAX5"/>
      <c r="IAY5"/>
      <c r="IAZ5"/>
      <c r="IBA5"/>
      <c r="IBB5"/>
      <c r="IBC5"/>
      <c r="IBD5"/>
      <c r="IBE5"/>
      <c r="IBF5"/>
      <c r="IBG5"/>
      <c r="IBH5"/>
      <c r="IBI5"/>
      <c r="IBJ5"/>
      <c r="IBK5"/>
      <c r="IBL5"/>
      <c r="IBM5"/>
      <c r="IBN5"/>
      <c r="IBO5"/>
      <c r="IBP5"/>
      <c r="IBQ5"/>
      <c r="IBR5"/>
      <c r="IBS5"/>
      <c r="IBT5"/>
      <c r="IBU5"/>
      <c r="IBV5"/>
      <c r="IBW5"/>
      <c r="IBX5"/>
      <c r="IBY5"/>
      <c r="IBZ5"/>
      <c r="ICA5"/>
      <c r="ICB5"/>
      <c r="ICC5"/>
      <c r="ICD5"/>
      <c r="ICE5"/>
      <c r="ICF5"/>
      <c r="ICG5"/>
      <c r="ICH5"/>
      <c r="ICI5"/>
      <c r="ICJ5"/>
      <c r="ICK5"/>
      <c r="ICL5"/>
      <c r="ICM5"/>
      <c r="ICN5"/>
      <c r="ICO5"/>
      <c r="ICP5"/>
      <c r="ICQ5"/>
      <c r="ICR5"/>
      <c r="ICS5"/>
      <c r="ICT5"/>
      <c r="ICU5"/>
      <c r="ICV5"/>
      <c r="ICW5"/>
      <c r="ICX5"/>
      <c r="ICY5"/>
      <c r="ICZ5"/>
      <c r="IDA5"/>
      <c r="IDB5"/>
      <c r="IDC5"/>
      <c r="IDD5"/>
      <c r="IDE5"/>
      <c r="IDF5"/>
      <c r="IDG5"/>
      <c r="IDH5"/>
      <c r="IDI5"/>
      <c r="IDJ5"/>
      <c r="IDK5"/>
      <c r="IDL5"/>
      <c r="IDM5"/>
      <c r="IDN5"/>
      <c r="IDO5"/>
      <c r="IDP5"/>
      <c r="IDQ5"/>
      <c r="IDR5"/>
      <c r="IDS5"/>
      <c r="IDT5"/>
      <c r="IDU5"/>
      <c r="IDV5"/>
      <c r="IDW5"/>
      <c r="IDX5"/>
      <c r="IDY5"/>
      <c r="IDZ5"/>
      <c r="IEA5"/>
      <c r="IEB5"/>
      <c r="IEC5"/>
      <c r="IED5"/>
      <c r="IEE5"/>
      <c r="IEF5"/>
      <c r="IEG5"/>
      <c r="IEH5"/>
      <c r="IEI5"/>
      <c r="IEJ5"/>
      <c r="IEK5"/>
      <c r="IEL5"/>
      <c r="IEM5"/>
      <c r="IEN5"/>
      <c r="IEO5"/>
      <c r="IEP5"/>
      <c r="IEQ5"/>
      <c r="IER5"/>
      <c r="IES5"/>
      <c r="IET5"/>
      <c r="IEU5"/>
      <c r="IEV5"/>
      <c r="IEW5"/>
      <c r="IEX5"/>
      <c r="IEY5"/>
      <c r="IEZ5"/>
      <c r="IFA5"/>
      <c r="IFB5"/>
      <c r="IFC5"/>
      <c r="IFD5"/>
      <c r="IFE5"/>
      <c r="IFF5"/>
      <c r="IFG5"/>
      <c r="IFH5"/>
      <c r="IFI5"/>
      <c r="IFJ5"/>
      <c r="IFK5"/>
      <c r="IFL5"/>
      <c r="IFM5"/>
      <c r="IFN5"/>
      <c r="IFO5"/>
      <c r="IFP5"/>
      <c r="IFQ5"/>
      <c r="IFR5"/>
      <c r="IFS5"/>
      <c r="IFT5"/>
      <c r="IFU5"/>
      <c r="IFV5"/>
      <c r="IFW5"/>
      <c r="IFX5"/>
      <c r="IFY5"/>
      <c r="IFZ5"/>
      <c r="IGA5"/>
      <c r="IGB5"/>
      <c r="IGC5"/>
      <c r="IGD5"/>
      <c r="IGE5"/>
      <c r="IGF5"/>
      <c r="IGG5"/>
      <c r="IGH5"/>
      <c r="IGI5"/>
      <c r="IGJ5"/>
      <c r="IGK5"/>
      <c r="IGL5"/>
      <c r="IGM5"/>
      <c r="IGN5"/>
      <c r="IGO5"/>
      <c r="IGP5"/>
      <c r="IGQ5"/>
      <c r="IGR5"/>
      <c r="IGS5"/>
      <c r="IGT5"/>
      <c r="IGU5"/>
      <c r="IGV5"/>
      <c r="IGW5"/>
      <c r="IGX5"/>
      <c r="IGY5"/>
      <c r="IGZ5"/>
      <c r="IHA5"/>
      <c r="IHB5"/>
      <c r="IHC5"/>
      <c r="IHD5"/>
      <c r="IHE5"/>
      <c r="IHF5"/>
      <c r="IHG5"/>
      <c r="IHH5"/>
      <c r="IHI5"/>
      <c r="IHJ5"/>
      <c r="IHK5"/>
      <c r="IHL5"/>
      <c r="IHM5"/>
      <c r="IHN5"/>
      <c r="IHO5"/>
      <c r="IHP5"/>
      <c r="IHQ5"/>
      <c r="IHR5"/>
      <c r="IHS5"/>
      <c r="IHT5"/>
      <c r="IHU5"/>
      <c r="IHV5"/>
      <c r="IHW5"/>
      <c r="IHX5"/>
      <c r="IHY5"/>
      <c r="IHZ5"/>
      <c r="IIA5"/>
      <c r="IIB5"/>
      <c r="IIC5"/>
      <c r="IID5"/>
      <c r="IIE5"/>
      <c r="IIF5"/>
      <c r="IIG5"/>
      <c r="IIH5"/>
      <c r="III5"/>
      <c r="IIJ5"/>
      <c r="IIK5"/>
      <c r="IIL5"/>
      <c r="IIM5"/>
      <c r="IIN5"/>
      <c r="IIO5"/>
      <c r="IIP5"/>
      <c r="IIQ5"/>
      <c r="IIR5"/>
      <c r="IIS5"/>
      <c r="IIT5"/>
      <c r="IIU5"/>
      <c r="IIV5"/>
      <c r="IIW5"/>
      <c r="IIX5"/>
      <c r="IIY5"/>
      <c r="IIZ5"/>
      <c r="IJA5"/>
      <c r="IJB5"/>
      <c r="IJC5"/>
      <c r="IJD5"/>
      <c r="IJE5"/>
      <c r="IJF5"/>
      <c r="IJG5"/>
      <c r="IJH5"/>
      <c r="IJI5"/>
      <c r="IJJ5"/>
      <c r="IJK5"/>
      <c r="IJL5"/>
      <c r="IJM5"/>
      <c r="IJN5"/>
      <c r="IJO5"/>
      <c r="IJP5"/>
      <c r="IJQ5"/>
      <c r="IJR5"/>
      <c r="IJS5"/>
      <c r="IJT5"/>
      <c r="IJU5"/>
      <c r="IJV5"/>
      <c r="IJW5"/>
      <c r="IJX5"/>
      <c r="IJY5"/>
      <c r="IJZ5"/>
      <c r="IKA5"/>
      <c r="IKB5"/>
      <c r="IKC5"/>
      <c r="IKD5"/>
      <c r="IKE5"/>
      <c r="IKF5"/>
      <c r="IKG5"/>
      <c r="IKH5"/>
      <c r="IKI5"/>
      <c r="IKJ5"/>
      <c r="IKK5"/>
      <c r="IKL5"/>
      <c r="IKM5"/>
      <c r="IKN5"/>
      <c r="IKO5"/>
      <c r="IKP5"/>
      <c r="IKQ5"/>
      <c r="IKR5"/>
      <c r="IKS5"/>
      <c r="IKT5"/>
      <c r="IKU5"/>
      <c r="IKV5"/>
      <c r="IKW5"/>
      <c r="IKX5"/>
      <c r="IKY5"/>
      <c r="IKZ5"/>
      <c r="ILA5"/>
      <c r="ILB5"/>
      <c r="ILC5"/>
      <c r="ILD5"/>
      <c r="ILE5"/>
      <c r="ILF5"/>
      <c r="ILG5"/>
      <c r="ILH5"/>
      <c r="ILI5"/>
      <c r="ILJ5"/>
      <c r="ILK5"/>
      <c r="ILL5"/>
      <c r="ILM5"/>
      <c r="ILN5"/>
      <c r="ILO5"/>
      <c r="ILP5"/>
      <c r="ILQ5"/>
      <c r="ILR5"/>
      <c r="ILS5"/>
      <c r="ILT5"/>
      <c r="ILU5"/>
      <c r="ILV5"/>
      <c r="ILW5"/>
      <c r="ILX5"/>
      <c r="ILY5"/>
      <c r="ILZ5"/>
      <c r="IMA5"/>
      <c r="IMB5"/>
      <c r="IMC5"/>
      <c r="IMD5"/>
      <c r="IME5"/>
      <c r="IMF5"/>
      <c r="IMG5"/>
      <c r="IMH5"/>
      <c r="IMI5"/>
      <c r="IMJ5"/>
      <c r="IMK5"/>
      <c r="IML5"/>
      <c r="IMM5"/>
      <c r="IMN5"/>
      <c r="IMO5"/>
      <c r="IMP5"/>
      <c r="IMQ5"/>
      <c r="IMR5"/>
      <c r="IMS5"/>
      <c r="IMT5"/>
      <c r="IMU5"/>
      <c r="IMV5"/>
      <c r="IMW5"/>
      <c r="IMX5"/>
      <c r="IMY5"/>
      <c r="IMZ5"/>
      <c r="INA5"/>
      <c r="INB5"/>
      <c r="INC5"/>
      <c r="IND5"/>
      <c r="INE5"/>
      <c r="INF5"/>
      <c r="ING5"/>
      <c r="INH5"/>
      <c r="INI5"/>
      <c r="INJ5"/>
      <c r="INK5"/>
      <c r="INL5"/>
      <c r="INM5"/>
      <c r="INN5"/>
      <c r="INO5"/>
      <c r="INP5"/>
      <c r="INQ5"/>
      <c r="INR5"/>
      <c r="INS5"/>
      <c r="INT5"/>
      <c r="INU5"/>
      <c r="INV5"/>
      <c r="INW5"/>
      <c r="INX5"/>
      <c r="INY5"/>
      <c r="INZ5"/>
      <c r="IOA5"/>
      <c r="IOB5"/>
      <c r="IOC5"/>
      <c r="IOD5"/>
      <c r="IOE5"/>
      <c r="IOF5"/>
      <c r="IOG5"/>
      <c r="IOH5"/>
      <c r="IOI5"/>
      <c r="IOJ5"/>
      <c r="IOK5"/>
      <c r="IOL5"/>
      <c r="IOM5"/>
      <c r="ION5"/>
      <c r="IOO5"/>
      <c r="IOP5"/>
      <c r="IOQ5"/>
      <c r="IOR5"/>
      <c r="IOS5"/>
      <c r="IOT5"/>
      <c r="IOU5"/>
      <c r="IOV5"/>
      <c r="IOW5"/>
      <c r="IOX5"/>
      <c r="IOY5"/>
      <c r="IOZ5"/>
      <c r="IPA5"/>
      <c r="IPB5"/>
      <c r="IPC5"/>
      <c r="IPD5"/>
      <c r="IPE5"/>
      <c r="IPF5"/>
      <c r="IPG5"/>
      <c r="IPH5"/>
      <c r="IPI5"/>
      <c r="IPJ5"/>
      <c r="IPK5"/>
      <c r="IPL5"/>
      <c r="IPM5"/>
      <c r="IPN5"/>
      <c r="IPO5"/>
      <c r="IPP5"/>
      <c r="IPQ5"/>
      <c r="IPR5"/>
      <c r="IPS5"/>
      <c r="IPT5"/>
      <c r="IPU5"/>
      <c r="IPV5"/>
      <c r="IPW5"/>
      <c r="IPX5"/>
      <c r="IPY5"/>
      <c r="IPZ5"/>
      <c r="IQA5"/>
      <c r="IQB5"/>
      <c r="IQC5"/>
      <c r="IQD5"/>
      <c r="IQE5"/>
      <c r="IQF5"/>
      <c r="IQG5"/>
      <c r="IQH5"/>
      <c r="IQI5"/>
      <c r="IQJ5"/>
      <c r="IQK5"/>
      <c r="IQL5"/>
      <c r="IQM5"/>
      <c r="IQN5"/>
      <c r="IQO5"/>
      <c r="IQP5"/>
      <c r="IQQ5"/>
      <c r="IQR5"/>
      <c r="IQS5"/>
      <c r="IQT5"/>
      <c r="IQU5"/>
      <c r="IQV5"/>
      <c r="IQW5"/>
      <c r="IQX5"/>
      <c r="IQY5"/>
      <c r="IQZ5"/>
      <c r="IRA5"/>
      <c r="IRB5"/>
      <c r="IRC5"/>
      <c r="IRD5"/>
      <c r="IRE5"/>
      <c r="IRF5"/>
      <c r="IRG5"/>
      <c r="IRH5"/>
      <c r="IRI5"/>
      <c r="IRJ5"/>
      <c r="IRK5"/>
      <c r="IRL5"/>
      <c r="IRM5"/>
      <c r="IRN5"/>
      <c r="IRO5"/>
      <c r="IRP5"/>
      <c r="IRQ5"/>
      <c r="IRR5"/>
      <c r="IRS5"/>
      <c r="IRT5"/>
      <c r="IRU5"/>
      <c r="IRV5"/>
      <c r="IRW5"/>
      <c r="IRX5"/>
      <c r="IRY5"/>
      <c r="IRZ5"/>
      <c r="ISA5"/>
      <c r="ISB5"/>
      <c r="ISC5"/>
      <c r="ISD5"/>
      <c r="ISE5"/>
      <c r="ISF5"/>
      <c r="ISG5"/>
      <c r="ISH5"/>
      <c r="ISI5"/>
      <c r="ISJ5"/>
      <c r="ISK5"/>
      <c r="ISL5"/>
      <c r="ISM5"/>
      <c r="ISN5"/>
      <c r="ISO5"/>
      <c r="ISP5"/>
      <c r="ISQ5"/>
      <c r="ISR5"/>
      <c r="ISS5"/>
      <c r="IST5"/>
      <c r="ISU5"/>
      <c r="ISV5"/>
      <c r="ISW5"/>
      <c r="ISX5"/>
      <c r="ISY5"/>
      <c r="ISZ5"/>
      <c r="ITA5"/>
      <c r="ITB5"/>
      <c r="ITC5"/>
      <c r="ITD5"/>
      <c r="ITE5"/>
      <c r="ITF5"/>
      <c r="ITG5"/>
      <c r="ITH5"/>
      <c r="ITI5"/>
      <c r="ITJ5"/>
      <c r="ITK5"/>
      <c r="ITL5"/>
      <c r="ITM5"/>
      <c r="ITN5"/>
      <c r="ITO5"/>
      <c r="ITP5"/>
      <c r="ITQ5"/>
      <c r="ITR5"/>
      <c r="ITS5"/>
      <c r="ITT5"/>
      <c r="ITU5"/>
      <c r="ITV5"/>
      <c r="ITW5"/>
      <c r="ITX5"/>
      <c r="ITY5"/>
      <c r="ITZ5"/>
      <c r="IUA5"/>
      <c r="IUB5"/>
      <c r="IUC5"/>
      <c r="IUD5"/>
      <c r="IUE5"/>
      <c r="IUF5"/>
      <c r="IUG5"/>
      <c r="IUH5"/>
      <c r="IUI5"/>
      <c r="IUJ5"/>
      <c r="IUK5"/>
      <c r="IUL5"/>
      <c r="IUM5"/>
      <c r="IUN5"/>
      <c r="IUO5"/>
      <c r="IUP5"/>
      <c r="IUQ5"/>
      <c r="IUR5"/>
      <c r="IUS5"/>
      <c r="IUT5"/>
      <c r="IUU5"/>
      <c r="IUV5"/>
      <c r="IUW5"/>
      <c r="IUX5"/>
      <c r="IUY5"/>
      <c r="IUZ5"/>
      <c r="IVA5"/>
      <c r="IVB5"/>
      <c r="IVC5"/>
      <c r="IVD5"/>
      <c r="IVE5"/>
      <c r="IVF5"/>
      <c r="IVG5"/>
      <c r="IVH5"/>
      <c r="IVI5"/>
      <c r="IVJ5"/>
      <c r="IVK5"/>
      <c r="IVL5"/>
      <c r="IVM5"/>
      <c r="IVN5"/>
      <c r="IVO5"/>
      <c r="IVP5"/>
      <c r="IVQ5"/>
      <c r="IVR5"/>
      <c r="IVS5"/>
      <c r="IVT5"/>
      <c r="IVU5"/>
      <c r="IVV5"/>
      <c r="IVW5"/>
      <c r="IVX5"/>
      <c r="IVY5"/>
      <c r="IVZ5"/>
      <c r="IWA5"/>
      <c r="IWB5"/>
      <c r="IWC5"/>
      <c r="IWD5"/>
      <c r="IWE5"/>
      <c r="IWF5"/>
      <c r="IWG5"/>
      <c r="IWH5"/>
      <c r="IWI5"/>
      <c r="IWJ5"/>
      <c r="IWK5"/>
      <c r="IWL5"/>
      <c r="IWM5"/>
      <c r="IWN5"/>
      <c r="IWO5"/>
      <c r="IWP5"/>
      <c r="IWQ5"/>
      <c r="IWR5"/>
      <c r="IWS5"/>
      <c r="IWT5"/>
      <c r="IWU5"/>
      <c r="IWV5"/>
      <c r="IWW5"/>
      <c r="IWX5"/>
      <c r="IWY5"/>
      <c r="IWZ5"/>
      <c r="IXA5"/>
      <c r="IXB5"/>
      <c r="IXC5"/>
      <c r="IXD5"/>
      <c r="IXE5"/>
      <c r="IXF5"/>
      <c r="IXG5"/>
      <c r="IXH5"/>
      <c r="IXI5"/>
      <c r="IXJ5"/>
      <c r="IXK5"/>
      <c r="IXL5"/>
      <c r="IXM5"/>
      <c r="IXN5"/>
      <c r="IXO5"/>
      <c r="IXP5"/>
      <c r="IXQ5"/>
      <c r="IXR5"/>
      <c r="IXS5"/>
      <c r="IXT5"/>
      <c r="IXU5"/>
      <c r="IXV5"/>
      <c r="IXW5"/>
      <c r="IXX5"/>
      <c r="IXY5"/>
      <c r="IXZ5"/>
      <c r="IYA5"/>
      <c r="IYB5"/>
      <c r="IYC5"/>
      <c r="IYD5"/>
      <c r="IYE5"/>
      <c r="IYF5"/>
      <c r="IYG5"/>
      <c r="IYH5"/>
      <c r="IYI5"/>
      <c r="IYJ5"/>
      <c r="IYK5"/>
      <c r="IYL5"/>
      <c r="IYM5"/>
      <c r="IYN5"/>
      <c r="IYO5"/>
      <c r="IYP5"/>
      <c r="IYQ5"/>
      <c r="IYR5"/>
      <c r="IYS5"/>
      <c r="IYT5"/>
      <c r="IYU5"/>
      <c r="IYV5"/>
      <c r="IYW5"/>
      <c r="IYX5"/>
      <c r="IYY5"/>
      <c r="IYZ5"/>
      <c r="IZA5"/>
      <c r="IZB5"/>
      <c r="IZC5"/>
      <c r="IZD5"/>
      <c r="IZE5"/>
      <c r="IZF5"/>
      <c r="IZG5"/>
      <c r="IZH5"/>
      <c r="IZI5"/>
      <c r="IZJ5"/>
      <c r="IZK5"/>
      <c r="IZL5"/>
      <c r="IZM5"/>
      <c r="IZN5"/>
      <c r="IZO5"/>
      <c r="IZP5"/>
      <c r="IZQ5"/>
      <c r="IZR5"/>
      <c r="IZS5"/>
      <c r="IZT5"/>
      <c r="IZU5"/>
      <c r="IZV5"/>
      <c r="IZW5"/>
      <c r="IZX5"/>
      <c r="IZY5"/>
      <c r="IZZ5"/>
      <c r="JAA5"/>
      <c r="JAB5"/>
      <c r="JAC5"/>
      <c r="JAD5"/>
      <c r="JAE5"/>
      <c r="JAF5"/>
      <c r="JAG5"/>
      <c r="JAH5"/>
      <c r="JAI5"/>
      <c r="JAJ5"/>
      <c r="JAK5"/>
      <c r="JAL5"/>
      <c r="JAM5"/>
      <c r="JAN5"/>
      <c r="JAO5"/>
      <c r="JAP5"/>
      <c r="JAQ5"/>
      <c r="JAR5"/>
      <c r="JAS5"/>
      <c r="JAT5"/>
      <c r="JAU5"/>
      <c r="JAV5"/>
      <c r="JAW5"/>
      <c r="JAX5"/>
      <c r="JAY5"/>
      <c r="JAZ5"/>
      <c r="JBA5"/>
      <c r="JBB5"/>
      <c r="JBC5"/>
      <c r="JBD5"/>
      <c r="JBE5"/>
      <c r="JBF5"/>
      <c r="JBG5"/>
      <c r="JBH5"/>
      <c r="JBI5"/>
      <c r="JBJ5"/>
      <c r="JBK5"/>
      <c r="JBL5"/>
      <c r="JBM5"/>
      <c r="JBN5"/>
      <c r="JBO5"/>
      <c r="JBP5"/>
      <c r="JBQ5"/>
      <c r="JBR5"/>
      <c r="JBS5"/>
      <c r="JBT5"/>
      <c r="JBU5"/>
      <c r="JBV5"/>
      <c r="JBW5"/>
      <c r="JBX5"/>
      <c r="JBY5"/>
      <c r="JBZ5"/>
      <c r="JCA5"/>
      <c r="JCB5"/>
      <c r="JCC5"/>
      <c r="JCD5"/>
      <c r="JCE5"/>
      <c r="JCF5"/>
      <c r="JCG5"/>
      <c r="JCH5"/>
      <c r="JCI5"/>
      <c r="JCJ5"/>
      <c r="JCK5"/>
      <c r="JCL5"/>
      <c r="JCM5"/>
      <c r="JCN5"/>
      <c r="JCO5"/>
      <c r="JCP5"/>
      <c r="JCQ5"/>
      <c r="JCR5"/>
      <c r="JCS5"/>
      <c r="JCT5"/>
      <c r="JCU5"/>
      <c r="JCV5"/>
      <c r="JCW5"/>
      <c r="JCX5"/>
      <c r="JCY5"/>
      <c r="JCZ5"/>
      <c r="JDA5"/>
      <c r="JDB5"/>
      <c r="JDC5"/>
      <c r="JDD5"/>
      <c r="JDE5"/>
      <c r="JDF5"/>
      <c r="JDG5"/>
      <c r="JDH5"/>
      <c r="JDI5"/>
      <c r="JDJ5"/>
      <c r="JDK5"/>
      <c r="JDL5"/>
      <c r="JDM5"/>
      <c r="JDN5"/>
      <c r="JDO5"/>
      <c r="JDP5"/>
      <c r="JDQ5"/>
      <c r="JDR5"/>
      <c r="JDS5"/>
      <c r="JDT5"/>
      <c r="JDU5"/>
      <c r="JDV5"/>
      <c r="JDW5"/>
      <c r="JDX5"/>
      <c r="JDY5"/>
      <c r="JDZ5"/>
      <c r="JEA5"/>
      <c r="JEB5"/>
      <c r="JEC5"/>
      <c r="JED5"/>
      <c r="JEE5"/>
      <c r="JEF5"/>
      <c r="JEG5"/>
      <c r="JEH5"/>
      <c r="JEI5"/>
      <c r="JEJ5"/>
      <c r="JEK5"/>
      <c r="JEL5"/>
      <c r="JEM5"/>
      <c r="JEN5"/>
      <c r="JEO5"/>
      <c r="JEP5"/>
      <c r="JEQ5"/>
      <c r="JER5"/>
      <c r="JES5"/>
      <c r="JET5"/>
      <c r="JEU5"/>
      <c r="JEV5"/>
      <c r="JEW5"/>
      <c r="JEX5"/>
      <c r="JEY5"/>
      <c r="JEZ5"/>
      <c r="JFA5"/>
      <c r="JFB5"/>
      <c r="JFC5"/>
      <c r="JFD5"/>
      <c r="JFE5"/>
      <c r="JFF5"/>
      <c r="JFG5"/>
      <c r="JFH5"/>
      <c r="JFI5"/>
      <c r="JFJ5"/>
      <c r="JFK5"/>
      <c r="JFL5"/>
      <c r="JFM5"/>
      <c r="JFN5"/>
      <c r="JFO5"/>
      <c r="JFP5"/>
      <c r="JFQ5"/>
      <c r="JFR5"/>
      <c r="JFS5"/>
      <c r="JFT5"/>
      <c r="JFU5"/>
      <c r="JFV5"/>
      <c r="JFW5"/>
      <c r="JFX5"/>
      <c r="JFY5"/>
      <c r="JFZ5"/>
      <c r="JGA5"/>
      <c r="JGB5"/>
      <c r="JGC5"/>
      <c r="JGD5"/>
      <c r="JGE5"/>
      <c r="JGF5"/>
      <c r="JGG5"/>
      <c r="JGH5"/>
      <c r="JGI5"/>
      <c r="JGJ5"/>
      <c r="JGK5"/>
      <c r="JGL5"/>
      <c r="JGM5"/>
      <c r="JGN5"/>
      <c r="JGO5"/>
      <c r="JGP5"/>
      <c r="JGQ5"/>
      <c r="JGR5"/>
      <c r="JGS5"/>
      <c r="JGT5"/>
      <c r="JGU5"/>
      <c r="JGV5"/>
      <c r="JGW5"/>
      <c r="JGX5"/>
      <c r="JGY5"/>
      <c r="JGZ5"/>
      <c r="JHA5"/>
      <c r="JHB5"/>
      <c r="JHC5"/>
      <c r="JHD5"/>
      <c r="JHE5"/>
      <c r="JHF5"/>
      <c r="JHG5"/>
      <c r="JHH5"/>
      <c r="JHI5"/>
      <c r="JHJ5"/>
      <c r="JHK5"/>
      <c r="JHL5"/>
      <c r="JHM5"/>
      <c r="JHN5"/>
      <c r="JHO5"/>
      <c r="JHP5"/>
      <c r="JHQ5"/>
      <c r="JHR5"/>
      <c r="JHS5"/>
      <c r="JHT5"/>
      <c r="JHU5"/>
      <c r="JHV5"/>
      <c r="JHW5"/>
      <c r="JHX5"/>
      <c r="JHY5"/>
      <c r="JHZ5"/>
      <c r="JIA5"/>
      <c r="JIB5"/>
      <c r="JIC5"/>
      <c r="JID5"/>
      <c r="JIE5"/>
      <c r="JIF5"/>
      <c r="JIG5"/>
      <c r="JIH5"/>
      <c r="JII5"/>
      <c r="JIJ5"/>
      <c r="JIK5"/>
      <c r="JIL5"/>
      <c r="JIM5"/>
      <c r="JIN5"/>
      <c r="JIO5"/>
      <c r="JIP5"/>
      <c r="JIQ5"/>
      <c r="JIR5"/>
      <c r="JIS5"/>
      <c r="JIT5"/>
      <c r="JIU5"/>
      <c r="JIV5"/>
      <c r="JIW5"/>
      <c r="JIX5"/>
      <c r="JIY5"/>
      <c r="JIZ5"/>
      <c r="JJA5"/>
      <c r="JJB5"/>
      <c r="JJC5"/>
      <c r="JJD5"/>
      <c r="JJE5"/>
      <c r="JJF5"/>
      <c r="JJG5"/>
      <c r="JJH5"/>
      <c r="JJI5"/>
      <c r="JJJ5"/>
      <c r="JJK5"/>
      <c r="JJL5"/>
      <c r="JJM5"/>
      <c r="JJN5"/>
      <c r="JJO5"/>
      <c r="JJP5"/>
      <c r="JJQ5"/>
      <c r="JJR5"/>
      <c r="JJS5"/>
      <c r="JJT5"/>
      <c r="JJU5"/>
      <c r="JJV5"/>
      <c r="JJW5"/>
      <c r="JJX5"/>
      <c r="JJY5"/>
      <c r="JJZ5"/>
      <c r="JKA5"/>
      <c r="JKB5"/>
      <c r="JKC5"/>
      <c r="JKD5"/>
      <c r="JKE5"/>
      <c r="JKF5"/>
      <c r="JKG5"/>
      <c r="JKH5"/>
      <c r="JKI5"/>
      <c r="JKJ5"/>
      <c r="JKK5"/>
      <c r="JKL5"/>
      <c r="JKM5"/>
      <c r="JKN5"/>
      <c r="JKO5"/>
      <c r="JKP5"/>
      <c r="JKQ5"/>
      <c r="JKR5"/>
      <c r="JKS5"/>
      <c r="JKT5"/>
      <c r="JKU5"/>
      <c r="JKV5"/>
      <c r="JKW5"/>
      <c r="JKX5"/>
      <c r="JKY5"/>
      <c r="JKZ5"/>
      <c r="JLA5"/>
      <c r="JLB5"/>
      <c r="JLC5"/>
      <c r="JLD5"/>
      <c r="JLE5"/>
      <c r="JLF5"/>
      <c r="JLG5"/>
      <c r="JLH5"/>
      <c r="JLI5"/>
      <c r="JLJ5"/>
      <c r="JLK5"/>
      <c r="JLL5"/>
      <c r="JLM5"/>
      <c r="JLN5"/>
      <c r="JLO5"/>
      <c r="JLP5"/>
      <c r="JLQ5"/>
      <c r="JLR5"/>
      <c r="JLS5"/>
      <c r="JLT5"/>
      <c r="JLU5"/>
      <c r="JLV5"/>
      <c r="JLW5"/>
      <c r="JLX5"/>
      <c r="JLY5"/>
      <c r="JLZ5"/>
      <c r="JMA5"/>
      <c r="JMB5"/>
      <c r="JMC5"/>
      <c r="JMD5"/>
      <c r="JME5"/>
      <c r="JMF5"/>
      <c r="JMG5"/>
      <c r="JMH5"/>
      <c r="JMI5"/>
      <c r="JMJ5"/>
      <c r="JMK5"/>
      <c r="JML5"/>
      <c r="JMM5"/>
      <c r="JMN5"/>
      <c r="JMO5"/>
      <c r="JMP5"/>
      <c r="JMQ5"/>
      <c r="JMR5"/>
      <c r="JMS5"/>
      <c r="JMT5"/>
      <c r="JMU5"/>
      <c r="JMV5"/>
      <c r="JMW5"/>
      <c r="JMX5"/>
      <c r="JMY5"/>
      <c r="JMZ5"/>
      <c r="JNA5"/>
      <c r="JNB5"/>
      <c r="JNC5"/>
      <c r="JND5"/>
      <c r="JNE5"/>
      <c r="JNF5"/>
      <c r="JNG5"/>
      <c r="JNH5"/>
      <c r="JNI5"/>
      <c r="JNJ5"/>
      <c r="JNK5"/>
      <c r="JNL5"/>
      <c r="JNM5"/>
      <c r="JNN5"/>
      <c r="JNO5"/>
      <c r="JNP5"/>
      <c r="JNQ5"/>
      <c r="JNR5"/>
      <c r="JNS5"/>
      <c r="JNT5"/>
      <c r="JNU5"/>
      <c r="JNV5"/>
      <c r="JNW5"/>
      <c r="JNX5"/>
      <c r="JNY5"/>
      <c r="JNZ5"/>
      <c r="JOA5"/>
      <c r="JOB5"/>
      <c r="JOC5"/>
      <c r="JOD5"/>
      <c r="JOE5"/>
      <c r="JOF5"/>
      <c r="JOG5"/>
      <c r="JOH5"/>
      <c r="JOI5"/>
      <c r="JOJ5"/>
      <c r="JOK5"/>
      <c r="JOL5"/>
      <c r="JOM5"/>
      <c r="JON5"/>
      <c r="JOO5"/>
      <c r="JOP5"/>
      <c r="JOQ5"/>
      <c r="JOR5"/>
      <c r="JOS5"/>
      <c r="JOT5"/>
      <c r="JOU5"/>
      <c r="JOV5"/>
      <c r="JOW5"/>
      <c r="JOX5"/>
      <c r="JOY5"/>
      <c r="JOZ5"/>
      <c r="JPA5"/>
      <c r="JPB5"/>
      <c r="JPC5"/>
      <c r="JPD5"/>
      <c r="JPE5"/>
      <c r="JPF5"/>
      <c r="JPG5"/>
      <c r="JPH5"/>
      <c r="JPI5"/>
      <c r="JPJ5"/>
      <c r="JPK5"/>
      <c r="JPL5"/>
      <c r="JPM5"/>
      <c r="JPN5"/>
      <c r="JPO5"/>
      <c r="JPP5"/>
      <c r="JPQ5"/>
      <c r="JPR5"/>
      <c r="JPS5"/>
      <c r="JPT5"/>
      <c r="JPU5"/>
      <c r="JPV5"/>
      <c r="JPW5"/>
      <c r="JPX5"/>
      <c r="JPY5"/>
      <c r="JPZ5"/>
      <c r="JQA5"/>
      <c r="JQB5"/>
      <c r="JQC5"/>
      <c r="JQD5"/>
      <c r="JQE5"/>
      <c r="JQF5"/>
      <c r="JQG5"/>
      <c r="JQH5"/>
      <c r="JQI5"/>
      <c r="JQJ5"/>
      <c r="JQK5"/>
      <c r="JQL5"/>
      <c r="JQM5"/>
      <c r="JQN5"/>
      <c r="JQO5"/>
      <c r="JQP5"/>
      <c r="JQQ5"/>
      <c r="JQR5"/>
      <c r="JQS5"/>
      <c r="JQT5"/>
      <c r="JQU5"/>
      <c r="JQV5"/>
      <c r="JQW5"/>
      <c r="JQX5"/>
      <c r="JQY5"/>
      <c r="JQZ5"/>
      <c r="JRA5"/>
      <c r="JRB5"/>
      <c r="JRC5"/>
      <c r="JRD5"/>
      <c r="JRE5"/>
      <c r="JRF5"/>
      <c r="JRG5"/>
      <c r="JRH5"/>
      <c r="JRI5"/>
      <c r="JRJ5"/>
      <c r="JRK5"/>
      <c r="JRL5"/>
      <c r="JRM5"/>
      <c r="JRN5"/>
      <c r="JRO5"/>
      <c r="JRP5"/>
      <c r="JRQ5"/>
      <c r="JRR5"/>
      <c r="JRS5"/>
      <c r="JRT5"/>
      <c r="JRU5"/>
      <c r="JRV5"/>
      <c r="JRW5"/>
      <c r="JRX5"/>
      <c r="JRY5"/>
      <c r="JRZ5"/>
      <c r="JSA5"/>
      <c r="JSB5"/>
      <c r="JSC5"/>
      <c r="JSD5"/>
      <c r="JSE5"/>
      <c r="JSF5"/>
      <c r="JSG5"/>
      <c r="JSH5"/>
      <c r="JSI5"/>
      <c r="JSJ5"/>
      <c r="JSK5"/>
      <c r="JSL5"/>
      <c r="JSM5"/>
      <c r="JSN5"/>
      <c r="JSO5"/>
      <c r="JSP5"/>
      <c r="JSQ5"/>
      <c r="JSR5"/>
      <c r="JSS5"/>
      <c r="JST5"/>
      <c r="JSU5"/>
      <c r="JSV5"/>
      <c r="JSW5"/>
      <c r="JSX5"/>
      <c r="JSY5"/>
      <c r="JSZ5"/>
      <c r="JTA5"/>
      <c r="JTB5"/>
      <c r="JTC5"/>
      <c r="JTD5"/>
      <c r="JTE5"/>
      <c r="JTF5"/>
      <c r="JTG5"/>
      <c r="JTH5"/>
      <c r="JTI5"/>
      <c r="JTJ5"/>
      <c r="JTK5"/>
      <c r="JTL5"/>
      <c r="JTM5"/>
      <c r="JTN5"/>
      <c r="JTO5"/>
      <c r="JTP5"/>
      <c r="JTQ5"/>
      <c r="JTR5"/>
      <c r="JTS5"/>
      <c r="JTT5"/>
      <c r="JTU5"/>
      <c r="JTV5"/>
      <c r="JTW5"/>
      <c r="JTX5"/>
      <c r="JTY5"/>
      <c r="JTZ5"/>
      <c r="JUA5"/>
      <c r="JUB5"/>
      <c r="JUC5"/>
      <c r="JUD5"/>
      <c r="JUE5"/>
      <c r="JUF5"/>
      <c r="JUG5"/>
      <c r="JUH5"/>
      <c r="JUI5"/>
      <c r="JUJ5"/>
      <c r="JUK5"/>
      <c r="JUL5"/>
      <c r="JUM5"/>
      <c r="JUN5"/>
      <c r="JUO5"/>
      <c r="JUP5"/>
      <c r="JUQ5"/>
      <c r="JUR5"/>
      <c r="JUS5"/>
      <c r="JUT5"/>
      <c r="JUU5"/>
      <c r="JUV5"/>
      <c r="JUW5"/>
      <c r="JUX5"/>
      <c r="JUY5"/>
      <c r="JUZ5"/>
      <c r="JVA5"/>
      <c r="JVB5"/>
      <c r="JVC5"/>
      <c r="JVD5"/>
      <c r="JVE5"/>
      <c r="JVF5"/>
      <c r="JVG5"/>
      <c r="JVH5"/>
      <c r="JVI5"/>
      <c r="JVJ5"/>
      <c r="JVK5"/>
      <c r="JVL5"/>
      <c r="JVM5"/>
      <c r="JVN5"/>
      <c r="JVO5"/>
      <c r="JVP5"/>
      <c r="JVQ5"/>
      <c r="JVR5"/>
      <c r="JVS5"/>
      <c r="JVT5"/>
      <c r="JVU5"/>
      <c r="JVV5"/>
      <c r="JVW5"/>
      <c r="JVX5"/>
      <c r="JVY5"/>
      <c r="JVZ5"/>
      <c r="JWA5"/>
      <c r="JWB5"/>
      <c r="JWC5"/>
      <c r="JWD5"/>
      <c r="JWE5"/>
      <c r="JWF5"/>
      <c r="JWG5"/>
      <c r="JWH5"/>
      <c r="JWI5"/>
      <c r="JWJ5"/>
      <c r="JWK5"/>
      <c r="JWL5"/>
      <c r="JWM5"/>
      <c r="JWN5"/>
      <c r="JWO5"/>
      <c r="JWP5"/>
      <c r="JWQ5"/>
      <c r="JWR5"/>
      <c r="JWS5"/>
      <c r="JWT5"/>
      <c r="JWU5"/>
      <c r="JWV5"/>
      <c r="JWW5"/>
      <c r="JWX5"/>
      <c r="JWY5"/>
      <c r="JWZ5"/>
      <c r="JXA5"/>
      <c r="JXB5"/>
      <c r="JXC5"/>
      <c r="JXD5"/>
      <c r="JXE5"/>
      <c r="JXF5"/>
      <c r="JXG5"/>
      <c r="JXH5"/>
      <c r="JXI5"/>
      <c r="JXJ5"/>
      <c r="JXK5"/>
      <c r="JXL5"/>
      <c r="JXM5"/>
      <c r="JXN5"/>
      <c r="JXO5"/>
      <c r="JXP5"/>
      <c r="JXQ5"/>
      <c r="JXR5"/>
      <c r="JXS5"/>
      <c r="JXT5"/>
      <c r="JXU5"/>
      <c r="JXV5"/>
      <c r="JXW5"/>
      <c r="JXX5"/>
      <c r="JXY5"/>
      <c r="JXZ5"/>
      <c r="JYA5"/>
      <c r="JYB5"/>
      <c r="JYC5"/>
      <c r="JYD5"/>
      <c r="JYE5"/>
      <c r="JYF5"/>
      <c r="JYG5"/>
      <c r="JYH5"/>
      <c r="JYI5"/>
      <c r="JYJ5"/>
      <c r="JYK5"/>
      <c r="JYL5"/>
      <c r="JYM5"/>
      <c r="JYN5"/>
      <c r="JYO5"/>
      <c r="JYP5"/>
      <c r="JYQ5"/>
      <c r="JYR5"/>
      <c r="JYS5"/>
      <c r="JYT5"/>
      <c r="JYU5"/>
      <c r="JYV5"/>
      <c r="JYW5"/>
      <c r="JYX5"/>
      <c r="JYY5"/>
      <c r="JYZ5"/>
      <c r="JZA5"/>
      <c r="JZB5"/>
      <c r="JZC5"/>
      <c r="JZD5"/>
      <c r="JZE5"/>
      <c r="JZF5"/>
      <c r="JZG5"/>
      <c r="JZH5"/>
      <c r="JZI5"/>
      <c r="JZJ5"/>
      <c r="JZK5"/>
      <c r="JZL5"/>
      <c r="JZM5"/>
      <c r="JZN5"/>
      <c r="JZO5"/>
      <c r="JZP5"/>
      <c r="JZQ5"/>
      <c r="JZR5"/>
      <c r="JZS5"/>
      <c r="JZT5"/>
      <c r="JZU5"/>
      <c r="JZV5"/>
      <c r="JZW5"/>
      <c r="JZX5"/>
      <c r="JZY5"/>
      <c r="JZZ5"/>
      <c r="KAA5"/>
      <c r="KAB5"/>
      <c r="KAC5"/>
      <c r="KAD5"/>
      <c r="KAE5"/>
      <c r="KAF5"/>
      <c r="KAG5"/>
      <c r="KAH5"/>
      <c r="KAI5"/>
      <c r="KAJ5"/>
      <c r="KAK5"/>
      <c r="KAL5"/>
      <c r="KAM5"/>
      <c r="KAN5"/>
      <c r="KAO5"/>
      <c r="KAP5"/>
      <c r="KAQ5"/>
      <c r="KAR5"/>
      <c r="KAS5"/>
      <c r="KAT5"/>
      <c r="KAU5"/>
      <c r="KAV5"/>
      <c r="KAW5"/>
      <c r="KAX5"/>
      <c r="KAY5"/>
      <c r="KAZ5"/>
      <c r="KBA5"/>
      <c r="KBB5"/>
      <c r="KBC5"/>
      <c r="KBD5"/>
      <c r="KBE5"/>
      <c r="KBF5"/>
      <c r="KBG5"/>
      <c r="KBH5"/>
      <c r="KBI5"/>
      <c r="KBJ5"/>
      <c r="KBK5"/>
      <c r="KBL5"/>
      <c r="KBM5"/>
      <c r="KBN5"/>
      <c r="KBO5"/>
      <c r="KBP5"/>
      <c r="KBQ5"/>
      <c r="KBR5"/>
      <c r="KBS5"/>
      <c r="KBT5"/>
      <c r="KBU5"/>
      <c r="KBV5"/>
      <c r="KBW5"/>
      <c r="KBX5"/>
      <c r="KBY5"/>
      <c r="KBZ5"/>
      <c r="KCA5"/>
      <c r="KCB5"/>
      <c r="KCC5"/>
      <c r="KCD5"/>
      <c r="KCE5"/>
      <c r="KCF5"/>
      <c r="KCG5"/>
      <c r="KCH5"/>
      <c r="KCI5"/>
      <c r="KCJ5"/>
      <c r="KCK5"/>
      <c r="KCL5"/>
      <c r="KCM5"/>
      <c r="KCN5"/>
      <c r="KCO5"/>
      <c r="KCP5"/>
      <c r="KCQ5"/>
      <c r="KCR5"/>
      <c r="KCS5"/>
      <c r="KCT5"/>
      <c r="KCU5"/>
      <c r="KCV5"/>
      <c r="KCW5"/>
      <c r="KCX5"/>
      <c r="KCY5"/>
      <c r="KCZ5"/>
      <c r="KDA5"/>
      <c r="KDB5"/>
      <c r="KDC5"/>
      <c r="KDD5"/>
      <c r="KDE5"/>
      <c r="KDF5"/>
      <c r="KDG5"/>
      <c r="KDH5"/>
      <c r="KDI5"/>
      <c r="KDJ5"/>
      <c r="KDK5"/>
      <c r="KDL5"/>
      <c r="KDM5"/>
      <c r="KDN5"/>
      <c r="KDO5"/>
      <c r="KDP5"/>
      <c r="KDQ5"/>
      <c r="KDR5"/>
      <c r="KDS5"/>
      <c r="KDT5"/>
      <c r="KDU5"/>
      <c r="KDV5"/>
      <c r="KDW5"/>
      <c r="KDX5"/>
      <c r="KDY5"/>
      <c r="KDZ5"/>
      <c r="KEA5"/>
      <c r="KEB5"/>
      <c r="KEC5"/>
      <c r="KED5"/>
      <c r="KEE5"/>
      <c r="KEF5"/>
      <c r="KEG5"/>
      <c r="KEH5"/>
      <c r="KEI5"/>
      <c r="KEJ5"/>
      <c r="KEK5"/>
      <c r="KEL5"/>
      <c r="KEM5"/>
      <c r="KEN5"/>
      <c r="KEO5"/>
      <c r="KEP5"/>
      <c r="KEQ5"/>
      <c r="KER5"/>
      <c r="KES5"/>
      <c r="KET5"/>
      <c r="KEU5"/>
      <c r="KEV5"/>
      <c r="KEW5"/>
      <c r="KEX5"/>
      <c r="KEY5"/>
      <c r="KEZ5"/>
      <c r="KFA5"/>
      <c r="KFB5"/>
      <c r="KFC5"/>
      <c r="KFD5"/>
      <c r="KFE5"/>
      <c r="KFF5"/>
      <c r="KFG5"/>
      <c r="KFH5"/>
      <c r="KFI5"/>
      <c r="KFJ5"/>
      <c r="KFK5"/>
      <c r="KFL5"/>
      <c r="KFM5"/>
      <c r="KFN5"/>
      <c r="KFO5"/>
      <c r="KFP5"/>
      <c r="KFQ5"/>
      <c r="KFR5"/>
      <c r="KFS5"/>
      <c r="KFT5"/>
      <c r="KFU5"/>
      <c r="KFV5"/>
      <c r="KFW5"/>
      <c r="KFX5"/>
      <c r="KFY5"/>
      <c r="KFZ5"/>
      <c r="KGA5"/>
      <c r="KGB5"/>
      <c r="KGC5"/>
      <c r="KGD5"/>
      <c r="KGE5"/>
      <c r="KGF5"/>
      <c r="KGG5"/>
      <c r="KGH5"/>
      <c r="KGI5"/>
      <c r="KGJ5"/>
      <c r="KGK5"/>
      <c r="KGL5"/>
      <c r="KGM5"/>
      <c r="KGN5"/>
      <c r="KGO5"/>
      <c r="KGP5"/>
      <c r="KGQ5"/>
      <c r="KGR5"/>
      <c r="KGS5"/>
      <c r="KGT5"/>
      <c r="KGU5"/>
      <c r="KGV5"/>
      <c r="KGW5"/>
      <c r="KGX5"/>
      <c r="KGY5"/>
      <c r="KGZ5"/>
      <c r="KHA5"/>
      <c r="KHB5"/>
      <c r="KHC5"/>
      <c r="KHD5"/>
      <c r="KHE5"/>
      <c r="KHF5"/>
      <c r="KHG5"/>
      <c r="KHH5"/>
      <c r="KHI5"/>
      <c r="KHJ5"/>
      <c r="KHK5"/>
      <c r="KHL5"/>
      <c r="KHM5"/>
      <c r="KHN5"/>
      <c r="KHO5"/>
      <c r="KHP5"/>
      <c r="KHQ5"/>
      <c r="KHR5"/>
      <c r="KHS5"/>
      <c r="KHT5"/>
      <c r="KHU5"/>
      <c r="KHV5"/>
      <c r="KHW5"/>
      <c r="KHX5"/>
      <c r="KHY5"/>
      <c r="KHZ5"/>
      <c r="KIA5"/>
      <c r="KIB5"/>
      <c r="KIC5"/>
      <c r="KID5"/>
      <c r="KIE5"/>
      <c r="KIF5"/>
      <c r="KIG5"/>
      <c r="KIH5"/>
      <c r="KII5"/>
      <c r="KIJ5"/>
      <c r="KIK5"/>
      <c r="KIL5"/>
      <c r="KIM5"/>
      <c r="KIN5"/>
      <c r="KIO5"/>
      <c r="KIP5"/>
      <c r="KIQ5"/>
      <c r="KIR5"/>
      <c r="KIS5"/>
      <c r="KIT5"/>
      <c r="KIU5"/>
      <c r="KIV5"/>
      <c r="KIW5"/>
      <c r="KIX5"/>
      <c r="KIY5"/>
      <c r="KIZ5"/>
      <c r="KJA5"/>
      <c r="KJB5"/>
      <c r="KJC5"/>
      <c r="KJD5"/>
      <c r="KJE5"/>
      <c r="KJF5"/>
      <c r="KJG5"/>
      <c r="KJH5"/>
      <c r="KJI5"/>
      <c r="KJJ5"/>
      <c r="KJK5"/>
      <c r="KJL5"/>
      <c r="KJM5"/>
      <c r="KJN5"/>
      <c r="KJO5"/>
      <c r="KJP5"/>
      <c r="KJQ5"/>
      <c r="KJR5"/>
      <c r="KJS5"/>
      <c r="KJT5"/>
      <c r="KJU5"/>
      <c r="KJV5"/>
      <c r="KJW5"/>
      <c r="KJX5"/>
      <c r="KJY5"/>
      <c r="KJZ5"/>
      <c r="KKA5"/>
      <c r="KKB5"/>
      <c r="KKC5"/>
      <c r="KKD5"/>
      <c r="KKE5"/>
      <c r="KKF5"/>
      <c r="KKG5"/>
      <c r="KKH5"/>
      <c r="KKI5"/>
      <c r="KKJ5"/>
      <c r="KKK5"/>
      <c r="KKL5"/>
      <c r="KKM5"/>
      <c r="KKN5"/>
      <c r="KKO5"/>
      <c r="KKP5"/>
      <c r="KKQ5"/>
      <c r="KKR5"/>
      <c r="KKS5"/>
      <c r="KKT5"/>
      <c r="KKU5"/>
      <c r="KKV5"/>
      <c r="KKW5"/>
      <c r="KKX5"/>
      <c r="KKY5"/>
      <c r="KKZ5"/>
      <c r="KLA5"/>
      <c r="KLB5"/>
      <c r="KLC5"/>
      <c r="KLD5"/>
      <c r="KLE5"/>
      <c r="KLF5"/>
      <c r="KLG5"/>
      <c r="KLH5"/>
      <c r="KLI5"/>
      <c r="KLJ5"/>
      <c r="KLK5"/>
      <c r="KLL5"/>
      <c r="KLM5"/>
      <c r="KLN5"/>
      <c r="KLO5"/>
      <c r="KLP5"/>
      <c r="KLQ5"/>
      <c r="KLR5"/>
      <c r="KLS5"/>
      <c r="KLT5"/>
      <c r="KLU5"/>
      <c r="KLV5"/>
      <c r="KLW5"/>
      <c r="KLX5"/>
      <c r="KLY5"/>
      <c r="KLZ5"/>
      <c r="KMA5"/>
      <c r="KMB5"/>
      <c r="KMC5"/>
      <c r="KMD5"/>
      <c r="KME5"/>
      <c r="KMF5"/>
      <c r="KMG5"/>
      <c r="KMH5"/>
      <c r="KMI5"/>
      <c r="KMJ5"/>
      <c r="KMK5"/>
      <c r="KML5"/>
      <c r="KMM5"/>
      <c r="KMN5"/>
      <c r="KMO5"/>
      <c r="KMP5"/>
      <c r="KMQ5"/>
      <c r="KMR5"/>
      <c r="KMS5"/>
      <c r="KMT5"/>
      <c r="KMU5"/>
      <c r="KMV5"/>
      <c r="KMW5"/>
      <c r="KMX5"/>
      <c r="KMY5"/>
      <c r="KMZ5"/>
      <c r="KNA5"/>
      <c r="KNB5"/>
      <c r="KNC5"/>
      <c r="KND5"/>
      <c r="KNE5"/>
      <c r="KNF5"/>
      <c r="KNG5"/>
      <c r="KNH5"/>
      <c r="KNI5"/>
      <c r="KNJ5"/>
      <c r="KNK5"/>
      <c r="KNL5"/>
      <c r="KNM5"/>
      <c r="KNN5"/>
      <c r="KNO5"/>
      <c r="KNP5"/>
      <c r="KNQ5"/>
      <c r="KNR5"/>
      <c r="KNS5"/>
      <c r="KNT5"/>
      <c r="KNU5"/>
      <c r="KNV5"/>
      <c r="KNW5"/>
      <c r="KNX5"/>
      <c r="KNY5"/>
      <c r="KNZ5"/>
      <c r="KOA5"/>
      <c r="KOB5"/>
      <c r="KOC5"/>
      <c r="KOD5"/>
      <c r="KOE5"/>
      <c r="KOF5"/>
      <c r="KOG5"/>
      <c r="KOH5"/>
      <c r="KOI5"/>
      <c r="KOJ5"/>
      <c r="KOK5"/>
      <c r="KOL5"/>
      <c r="KOM5"/>
      <c r="KON5"/>
      <c r="KOO5"/>
      <c r="KOP5"/>
      <c r="KOQ5"/>
      <c r="KOR5"/>
      <c r="KOS5"/>
      <c r="KOT5"/>
      <c r="KOU5"/>
      <c r="KOV5"/>
      <c r="KOW5"/>
      <c r="KOX5"/>
      <c r="KOY5"/>
      <c r="KOZ5"/>
      <c r="KPA5"/>
      <c r="KPB5"/>
      <c r="KPC5"/>
      <c r="KPD5"/>
      <c r="KPE5"/>
      <c r="KPF5"/>
      <c r="KPG5"/>
      <c r="KPH5"/>
      <c r="KPI5"/>
      <c r="KPJ5"/>
      <c r="KPK5"/>
      <c r="KPL5"/>
      <c r="KPM5"/>
      <c r="KPN5"/>
      <c r="KPO5"/>
      <c r="KPP5"/>
      <c r="KPQ5"/>
      <c r="KPR5"/>
      <c r="KPS5"/>
      <c r="KPT5"/>
      <c r="KPU5"/>
      <c r="KPV5"/>
      <c r="KPW5"/>
      <c r="KPX5"/>
      <c r="KPY5"/>
      <c r="KPZ5"/>
      <c r="KQA5"/>
      <c r="KQB5"/>
      <c r="KQC5"/>
      <c r="KQD5"/>
      <c r="KQE5"/>
      <c r="KQF5"/>
      <c r="KQG5"/>
      <c r="KQH5"/>
      <c r="KQI5"/>
      <c r="KQJ5"/>
      <c r="KQK5"/>
      <c r="KQL5"/>
      <c r="KQM5"/>
      <c r="KQN5"/>
      <c r="KQO5"/>
      <c r="KQP5"/>
      <c r="KQQ5"/>
      <c r="KQR5"/>
      <c r="KQS5"/>
      <c r="KQT5"/>
      <c r="KQU5"/>
      <c r="KQV5"/>
      <c r="KQW5"/>
      <c r="KQX5"/>
      <c r="KQY5"/>
      <c r="KQZ5"/>
      <c r="KRA5"/>
      <c r="KRB5"/>
      <c r="KRC5"/>
      <c r="KRD5"/>
      <c r="KRE5"/>
      <c r="KRF5"/>
      <c r="KRG5"/>
      <c r="KRH5"/>
      <c r="KRI5"/>
      <c r="KRJ5"/>
      <c r="KRK5"/>
      <c r="KRL5"/>
      <c r="KRM5"/>
      <c r="KRN5"/>
      <c r="KRO5"/>
      <c r="KRP5"/>
      <c r="KRQ5"/>
      <c r="KRR5"/>
      <c r="KRS5"/>
      <c r="KRT5"/>
      <c r="KRU5"/>
      <c r="KRV5"/>
      <c r="KRW5"/>
      <c r="KRX5"/>
      <c r="KRY5"/>
      <c r="KRZ5"/>
      <c r="KSA5"/>
      <c r="KSB5"/>
      <c r="KSC5"/>
      <c r="KSD5"/>
      <c r="KSE5"/>
      <c r="KSF5"/>
      <c r="KSG5"/>
      <c r="KSH5"/>
      <c r="KSI5"/>
      <c r="KSJ5"/>
      <c r="KSK5"/>
      <c r="KSL5"/>
      <c r="KSM5"/>
      <c r="KSN5"/>
      <c r="KSO5"/>
      <c r="KSP5"/>
      <c r="KSQ5"/>
      <c r="KSR5"/>
      <c r="KSS5"/>
      <c r="KST5"/>
      <c r="KSU5"/>
      <c r="KSV5"/>
      <c r="KSW5"/>
      <c r="KSX5"/>
      <c r="KSY5"/>
      <c r="KSZ5"/>
      <c r="KTA5"/>
      <c r="KTB5"/>
      <c r="KTC5"/>
      <c r="KTD5"/>
      <c r="KTE5"/>
      <c r="KTF5"/>
      <c r="KTG5"/>
      <c r="KTH5"/>
      <c r="KTI5"/>
      <c r="KTJ5"/>
      <c r="KTK5"/>
      <c r="KTL5"/>
      <c r="KTM5"/>
      <c r="KTN5"/>
      <c r="KTO5"/>
      <c r="KTP5"/>
      <c r="KTQ5"/>
      <c r="KTR5"/>
      <c r="KTS5"/>
      <c r="KTT5"/>
      <c r="KTU5"/>
      <c r="KTV5"/>
      <c r="KTW5"/>
      <c r="KTX5"/>
      <c r="KTY5"/>
      <c r="KTZ5"/>
      <c r="KUA5"/>
      <c r="KUB5"/>
      <c r="KUC5"/>
      <c r="KUD5"/>
      <c r="KUE5"/>
      <c r="KUF5"/>
      <c r="KUG5"/>
      <c r="KUH5"/>
      <c r="KUI5"/>
      <c r="KUJ5"/>
      <c r="KUK5"/>
      <c r="KUL5"/>
      <c r="KUM5"/>
      <c r="KUN5"/>
      <c r="KUO5"/>
      <c r="KUP5"/>
      <c r="KUQ5"/>
      <c r="KUR5"/>
      <c r="KUS5"/>
      <c r="KUT5"/>
      <c r="KUU5"/>
      <c r="KUV5"/>
      <c r="KUW5"/>
      <c r="KUX5"/>
      <c r="KUY5"/>
      <c r="KUZ5"/>
      <c r="KVA5"/>
      <c r="KVB5"/>
      <c r="KVC5"/>
      <c r="KVD5"/>
      <c r="KVE5"/>
      <c r="KVF5"/>
      <c r="KVG5"/>
      <c r="KVH5"/>
      <c r="KVI5"/>
      <c r="KVJ5"/>
      <c r="KVK5"/>
      <c r="KVL5"/>
      <c r="KVM5"/>
      <c r="KVN5"/>
      <c r="KVO5"/>
      <c r="KVP5"/>
      <c r="KVQ5"/>
      <c r="KVR5"/>
      <c r="KVS5"/>
      <c r="KVT5"/>
      <c r="KVU5"/>
      <c r="KVV5"/>
      <c r="KVW5"/>
      <c r="KVX5"/>
      <c r="KVY5"/>
      <c r="KVZ5"/>
      <c r="KWA5"/>
      <c r="KWB5"/>
      <c r="KWC5"/>
      <c r="KWD5"/>
      <c r="KWE5"/>
      <c r="KWF5"/>
      <c r="KWG5"/>
      <c r="KWH5"/>
      <c r="KWI5"/>
      <c r="KWJ5"/>
      <c r="KWK5"/>
      <c r="KWL5"/>
      <c r="KWM5"/>
      <c r="KWN5"/>
      <c r="KWO5"/>
      <c r="KWP5"/>
      <c r="KWQ5"/>
      <c r="KWR5"/>
      <c r="KWS5"/>
      <c r="KWT5"/>
      <c r="KWU5"/>
      <c r="KWV5"/>
      <c r="KWW5"/>
      <c r="KWX5"/>
      <c r="KWY5"/>
      <c r="KWZ5"/>
      <c r="KXA5"/>
      <c r="KXB5"/>
      <c r="KXC5"/>
      <c r="KXD5"/>
      <c r="KXE5"/>
      <c r="KXF5"/>
      <c r="KXG5"/>
      <c r="KXH5"/>
      <c r="KXI5"/>
      <c r="KXJ5"/>
      <c r="KXK5"/>
      <c r="KXL5"/>
      <c r="KXM5"/>
      <c r="KXN5"/>
      <c r="KXO5"/>
      <c r="KXP5"/>
      <c r="KXQ5"/>
      <c r="KXR5"/>
      <c r="KXS5"/>
      <c r="KXT5"/>
      <c r="KXU5"/>
      <c r="KXV5"/>
      <c r="KXW5"/>
      <c r="KXX5"/>
      <c r="KXY5"/>
      <c r="KXZ5"/>
      <c r="KYA5"/>
      <c r="KYB5"/>
      <c r="KYC5"/>
      <c r="KYD5"/>
      <c r="KYE5"/>
      <c r="KYF5"/>
      <c r="KYG5"/>
      <c r="KYH5"/>
      <c r="KYI5"/>
      <c r="KYJ5"/>
      <c r="KYK5"/>
      <c r="KYL5"/>
      <c r="KYM5"/>
      <c r="KYN5"/>
      <c r="KYO5"/>
      <c r="KYP5"/>
      <c r="KYQ5"/>
      <c r="KYR5"/>
      <c r="KYS5"/>
      <c r="KYT5"/>
      <c r="KYU5"/>
      <c r="KYV5"/>
      <c r="KYW5"/>
      <c r="KYX5"/>
      <c r="KYY5"/>
      <c r="KYZ5"/>
      <c r="KZA5"/>
      <c r="KZB5"/>
      <c r="KZC5"/>
      <c r="KZD5"/>
      <c r="KZE5"/>
      <c r="KZF5"/>
      <c r="KZG5"/>
      <c r="KZH5"/>
      <c r="KZI5"/>
      <c r="KZJ5"/>
      <c r="KZK5"/>
      <c r="KZL5"/>
      <c r="KZM5"/>
      <c r="KZN5"/>
      <c r="KZO5"/>
      <c r="KZP5"/>
      <c r="KZQ5"/>
      <c r="KZR5"/>
      <c r="KZS5"/>
      <c r="KZT5"/>
      <c r="KZU5"/>
      <c r="KZV5"/>
      <c r="KZW5"/>
      <c r="KZX5"/>
      <c r="KZY5"/>
      <c r="KZZ5"/>
      <c r="LAA5"/>
      <c r="LAB5"/>
      <c r="LAC5"/>
      <c r="LAD5"/>
      <c r="LAE5"/>
      <c r="LAF5"/>
      <c r="LAG5"/>
      <c r="LAH5"/>
      <c r="LAI5"/>
      <c r="LAJ5"/>
      <c r="LAK5"/>
      <c r="LAL5"/>
      <c r="LAM5"/>
      <c r="LAN5"/>
      <c r="LAO5"/>
      <c r="LAP5"/>
      <c r="LAQ5"/>
      <c r="LAR5"/>
      <c r="LAS5"/>
      <c r="LAT5"/>
      <c r="LAU5"/>
      <c r="LAV5"/>
      <c r="LAW5"/>
      <c r="LAX5"/>
      <c r="LAY5"/>
      <c r="LAZ5"/>
      <c r="LBA5"/>
      <c r="LBB5"/>
      <c r="LBC5"/>
      <c r="LBD5"/>
      <c r="LBE5"/>
      <c r="LBF5"/>
      <c r="LBG5"/>
      <c r="LBH5"/>
      <c r="LBI5"/>
      <c r="LBJ5"/>
      <c r="LBK5"/>
      <c r="LBL5"/>
      <c r="LBM5"/>
      <c r="LBN5"/>
      <c r="LBO5"/>
      <c r="LBP5"/>
      <c r="LBQ5"/>
      <c r="LBR5"/>
      <c r="LBS5"/>
      <c r="LBT5"/>
      <c r="LBU5"/>
      <c r="LBV5"/>
      <c r="LBW5"/>
      <c r="LBX5"/>
      <c r="LBY5"/>
      <c r="LBZ5"/>
      <c r="LCA5"/>
      <c r="LCB5"/>
      <c r="LCC5"/>
      <c r="LCD5"/>
      <c r="LCE5"/>
      <c r="LCF5"/>
      <c r="LCG5"/>
      <c r="LCH5"/>
      <c r="LCI5"/>
      <c r="LCJ5"/>
      <c r="LCK5"/>
      <c r="LCL5"/>
      <c r="LCM5"/>
      <c r="LCN5"/>
      <c r="LCO5"/>
      <c r="LCP5"/>
      <c r="LCQ5"/>
      <c r="LCR5"/>
      <c r="LCS5"/>
      <c r="LCT5"/>
      <c r="LCU5"/>
      <c r="LCV5"/>
      <c r="LCW5"/>
      <c r="LCX5"/>
      <c r="LCY5"/>
      <c r="LCZ5"/>
      <c r="LDA5"/>
      <c r="LDB5"/>
      <c r="LDC5"/>
      <c r="LDD5"/>
      <c r="LDE5"/>
      <c r="LDF5"/>
      <c r="LDG5"/>
      <c r="LDH5"/>
      <c r="LDI5"/>
      <c r="LDJ5"/>
      <c r="LDK5"/>
      <c r="LDL5"/>
      <c r="LDM5"/>
      <c r="LDN5"/>
      <c r="LDO5"/>
      <c r="LDP5"/>
      <c r="LDQ5"/>
      <c r="LDR5"/>
      <c r="LDS5"/>
      <c r="LDT5"/>
      <c r="LDU5"/>
      <c r="LDV5"/>
      <c r="LDW5"/>
      <c r="LDX5"/>
      <c r="LDY5"/>
      <c r="LDZ5"/>
      <c r="LEA5"/>
      <c r="LEB5"/>
      <c r="LEC5"/>
      <c r="LED5"/>
      <c r="LEE5"/>
      <c r="LEF5"/>
      <c r="LEG5"/>
      <c r="LEH5"/>
      <c r="LEI5"/>
      <c r="LEJ5"/>
      <c r="LEK5"/>
      <c r="LEL5"/>
      <c r="LEM5"/>
      <c r="LEN5"/>
      <c r="LEO5"/>
      <c r="LEP5"/>
      <c r="LEQ5"/>
      <c r="LER5"/>
      <c r="LES5"/>
      <c r="LET5"/>
      <c r="LEU5"/>
      <c r="LEV5"/>
      <c r="LEW5"/>
      <c r="LEX5"/>
      <c r="LEY5"/>
      <c r="LEZ5"/>
      <c r="LFA5"/>
      <c r="LFB5"/>
      <c r="LFC5"/>
      <c r="LFD5"/>
      <c r="LFE5"/>
      <c r="LFF5"/>
      <c r="LFG5"/>
      <c r="LFH5"/>
      <c r="LFI5"/>
      <c r="LFJ5"/>
      <c r="LFK5"/>
      <c r="LFL5"/>
      <c r="LFM5"/>
      <c r="LFN5"/>
      <c r="LFO5"/>
      <c r="LFP5"/>
      <c r="LFQ5"/>
      <c r="LFR5"/>
      <c r="LFS5"/>
      <c r="LFT5"/>
      <c r="LFU5"/>
      <c r="LFV5"/>
      <c r="LFW5"/>
      <c r="LFX5"/>
      <c r="LFY5"/>
      <c r="LFZ5"/>
      <c r="LGA5"/>
      <c r="LGB5"/>
      <c r="LGC5"/>
      <c r="LGD5"/>
      <c r="LGE5"/>
      <c r="LGF5"/>
      <c r="LGG5"/>
      <c r="LGH5"/>
      <c r="LGI5"/>
      <c r="LGJ5"/>
      <c r="LGK5"/>
      <c r="LGL5"/>
      <c r="LGM5"/>
      <c r="LGN5"/>
      <c r="LGO5"/>
      <c r="LGP5"/>
      <c r="LGQ5"/>
      <c r="LGR5"/>
      <c r="LGS5"/>
      <c r="LGT5"/>
      <c r="LGU5"/>
      <c r="LGV5"/>
      <c r="LGW5"/>
      <c r="LGX5"/>
      <c r="LGY5"/>
      <c r="LGZ5"/>
      <c r="LHA5"/>
      <c r="LHB5"/>
      <c r="LHC5"/>
      <c r="LHD5"/>
      <c r="LHE5"/>
      <c r="LHF5"/>
      <c r="LHG5"/>
      <c r="LHH5"/>
      <c r="LHI5"/>
      <c r="LHJ5"/>
      <c r="LHK5"/>
      <c r="LHL5"/>
      <c r="LHM5"/>
      <c r="LHN5"/>
      <c r="LHO5"/>
      <c r="LHP5"/>
      <c r="LHQ5"/>
      <c r="LHR5"/>
      <c r="LHS5"/>
      <c r="LHT5"/>
      <c r="LHU5"/>
      <c r="LHV5"/>
      <c r="LHW5"/>
      <c r="LHX5"/>
      <c r="LHY5"/>
      <c r="LHZ5"/>
      <c r="LIA5"/>
      <c r="LIB5"/>
      <c r="LIC5"/>
      <c r="LID5"/>
      <c r="LIE5"/>
      <c r="LIF5"/>
      <c r="LIG5"/>
      <c r="LIH5"/>
      <c r="LII5"/>
      <c r="LIJ5"/>
      <c r="LIK5"/>
      <c r="LIL5"/>
      <c r="LIM5"/>
      <c r="LIN5"/>
      <c r="LIO5"/>
      <c r="LIP5"/>
      <c r="LIQ5"/>
      <c r="LIR5"/>
      <c r="LIS5"/>
      <c r="LIT5"/>
      <c r="LIU5"/>
      <c r="LIV5"/>
      <c r="LIW5"/>
      <c r="LIX5"/>
      <c r="LIY5"/>
      <c r="LIZ5"/>
      <c r="LJA5"/>
      <c r="LJB5"/>
      <c r="LJC5"/>
      <c r="LJD5"/>
      <c r="LJE5"/>
      <c r="LJF5"/>
      <c r="LJG5"/>
      <c r="LJH5"/>
      <c r="LJI5"/>
      <c r="LJJ5"/>
      <c r="LJK5"/>
      <c r="LJL5"/>
      <c r="LJM5"/>
      <c r="LJN5"/>
      <c r="LJO5"/>
      <c r="LJP5"/>
      <c r="LJQ5"/>
      <c r="LJR5"/>
      <c r="LJS5"/>
      <c r="LJT5"/>
      <c r="LJU5"/>
      <c r="LJV5"/>
      <c r="LJW5"/>
      <c r="LJX5"/>
      <c r="LJY5"/>
      <c r="LJZ5"/>
      <c r="LKA5"/>
      <c r="LKB5"/>
      <c r="LKC5"/>
      <c r="LKD5"/>
      <c r="LKE5"/>
      <c r="LKF5"/>
      <c r="LKG5"/>
      <c r="LKH5"/>
      <c r="LKI5"/>
      <c r="LKJ5"/>
      <c r="LKK5"/>
      <c r="LKL5"/>
      <c r="LKM5"/>
      <c r="LKN5"/>
      <c r="LKO5"/>
      <c r="LKP5"/>
      <c r="LKQ5"/>
      <c r="LKR5"/>
      <c r="LKS5"/>
      <c r="LKT5"/>
      <c r="LKU5"/>
      <c r="LKV5"/>
      <c r="LKW5"/>
      <c r="LKX5"/>
      <c r="LKY5"/>
      <c r="LKZ5"/>
      <c r="LLA5"/>
      <c r="LLB5"/>
      <c r="LLC5"/>
      <c r="LLD5"/>
      <c r="LLE5"/>
      <c r="LLF5"/>
      <c r="LLG5"/>
      <c r="LLH5"/>
      <c r="LLI5"/>
      <c r="LLJ5"/>
      <c r="LLK5"/>
      <c r="LLL5"/>
      <c r="LLM5"/>
      <c r="LLN5"/>
      <c r="LLO5"/>
      <c r="LLP5"/>
      <c r="LLQ5"/>
      <c r="LLR5"/>
      <c r="LLS5"/>
      <c r="LLT5"/>
      <c r="LLU5"/>
      <c r="LLV5"/>
      <c r="LLW5"/>
      <c r="LLX5"/>
      <c r="LLY5"/>
      <c r="LLZ5"/>
      <c r="LMA5"/>
      <c r="LMB5"/>
      <c r="LMC5"/>
      <c r="LMD5"/>
      <c r="LME5"/>
      <c r="LMF5"/>
      <c r="LMG5"/>
      <c r="LMH5"/>
      <c r="LMI5"/>
      <c r="LMJ5"/>
      <c r="LMK5"/>
      <c r="LML5"/>
      <c r="LMM5"/>
      <c r="LMN5"/>
      <c r="LMO5"/>
      <c r="LMP5"/>
      <c r="LMQ5"/>
      <c r="LMR5"/>
      <c r="LMS5"/>
      <c r="LMT5"/>
      <c r="LMU5"/>
      <c r="LMV5"/>
      <c r="LMW5"/>
      <c r="LMX5"/>
      <c r="LMY5"/>
      <c r="LMZ5"/>
      <c r="LNA5"/>
      <c r="LNB5"/>
      <c r="LNC5"/>
      <c r="LND5"/>
      <c r="LNE5"/>
      <c r="LNF5"/>
      <c r="LNG5"/>
      <c r="LNH5"/>
      <c r="LNI5"/>
      <c r="LNJ5"/>
      <c r="LNK5"/>
      <c r="LNL5"/>
      <c r="LNM5"/>
      <c r="LNN5"/>
      <c r="LNO5"/>
      <c r="LNP5"/>
      <c r="LNQ5"/>
      <c r="LNR5"/>
      <c r="LNS5"/>
      <c r="LNT5"/>
      <c r="LNU5"/>
      <c r="LNV5"/>
      <c r="LNW5"/>
      <c r="LNX5"/>
      <c r="LNY5"/>
      <c r="LNZ5"/>
      <c r="LOA5"/>
      <c r="LOB5"/>
      <c r="LOC5"/>
      <c r="LOD5"/>
      <c r="LOE5"/>
      <c r="LOF5"/>
      <c r="LOG5"/>
      <c r="LOH5"/>
      <c r="LOI5"/>
      <c r="LOJ5"/>
      <c r="LOK5"/>
      <c r="LOL5"/>
      <c r="LOM5"/>
      <c r="LON5"/>
      <c r="LOO5"/>
      <c r="LOP5"/>
      <c r="LOQ5"/>
      <c r="LOR5"/>
      <c r="LOS5"/>
      <c r="LOT5"/>
      <c r="LOU5"/>
      <c r="LOV5"/>
      <c r="LOW5"/>
      <c r="LOX5"/>
      <c r="LOY5"/>
      <c r="LOZ5"/>
      <c r="LPA5"/>
      <c r="LPB5"/>
      <c r="LPC5"/>
      <c r="LPD5"/>
      <c r="LPE5"/>
      <c r="LPF5"/>
      <c r="LPG5"/>
      <c r="LPH5"/>
      <c r="LPI5"/>
      <c r="LPJ5"/>
      <c r="LPK5"/>
      <c r="LPL5"/>
      <c r="LPM5"/>
      <c r="LPN5"/>
      <c r="LPO5"/>
      <c r="LPP5"/>
      <c r="LPQ5"/>
      <c r="LPR5"/>
      <c r="LPS5"/>
      <c r="LPT5"/>
      <c r="LPU5"/>
      <c r="LPV5"/>
      <c r="LPW5"/>
      <c r="LPX5"/>
      <c r="LPY5"/>
      <c r="LPZ5"/>
      <c r="LQA5"/>
      <c r="LQB5"/>
      <c r="LQC5"/>
      <c r="LQD5"/>
      <c r="LQE5"/>
      <c r="LQF5"/>
      <c r="LQG5"/>
      <c r="LQH5"/>
      <c r="LQI5"/>
      <c r="LQJ5"/>
      <c r="LQK5"/>
      <c r="LQL5"/>
      <c r="LQM5"/>
      <c r="LQN5"/>
      <c r="LQO5"/>
      <c r="LQP5"/>
      <c r="LQQ5"/>
      <c r="LQR5"/>
      <c r="LQS5"/>
      <c r="LQT5"/>
      <c r="LQU5"/>
      <c r="LQV5"/>
      <c r="LQW5"/>
      <c r="LQX5"/>
      <c r="LQY5"/>
      <c r="LQZ5"/>
      <c r="LRA5"/>
      <c r="LRB5"/>
      <c r="LRC5"/>
      <c r="LRD5"/>
      <c r="LRE5"/>
      <c r="LRF5"/>
      <c r="LRG5"/>
      <c r="LRH5"/>
      <c r="LRI5"/>
      <c r="LRJ5"/>
      <c r="LRK5"/>
      <c r="LRL5"/>
      <c r="LRM5"/>
      <c r="LRN5"/>
      <c r="LRO5"/>
      <c r="LRP5"/>
      <c r="LRQ5"/>
      <c r="LRR5"/>
      <c r="LRS5"/>
      <c r="LRT5"/>
      <c r="LRU5"/>
      <c r="LRV5"/>
      <c r="LRW5"/>
      <c r="LRX5"/>
      <c r="LRY5"/>
      <c r="LRZ5"/>
      <c r="LSA5"/>
      <c r="LSB5"/>
      <c r="LSC5"/>
      <c r="LSD5"/>
      <c r="LSE5"/>
      <c r="LSF5"/>
      <c r="LSG5"/>
      <c r="LSH5"/>
      <c r="LSI5"/>
      <c r="LSJ5"/>
      <c r="LSK5"/>
      <c r="LSL5"/>
      <c r="LSM5"/>
      <c r="LSN5"/>
      <c r="LSO5"/>
      <c r="LSP5"/>
      <c r="LSQ5"/>
      <c r="LSR5"/>
      <c r="LSS5"/>
      <c r="LST5"/>
      <c r="LSU5"/>
      <c r="LSV5"/>
      <c r="LSW5"/>
      <c r="LSX5"/>
      <c r="LSY5"/>
      <c r="LSZ5"/>
      <c r="LTA5"/>
      <c r="LTB5"/>
      <c r="LTC5"/>
      <c r="LTD5"/>
      <c r="LTE5"/>
      <c r="LTF5"/>
      <c r="LTG5"/>
      <c r="LTH5"/>
      <c r="LTI5"/>
      <c r="LTJ5"/>
      <c r="LTK5"/>
      <c r="LTL5"/>
      <c r="LTM5"/>
      <c r="LTN5"/>
      <c r="LTO5"/>
      <c r="LTP5"/>
      <c r="LTQ5"/>
      <c r="LTR5"/>
      <c r="LTS5"/>
      <c r="LTT5"/>
      <c r="LTU5"/>
      <c r="LTV5"/>
      <c r="LTW5"/>
      <c r="LTX5"/>
      <c r="LTY5"/>
      <c r="LTZ5"/>
      <c r="LUA5"/>
      <c r="LUB5"/>
      <c r="LUC5"/>
      <c r="LUD5"/>
      <c r="LUE5"/>
      <c r="LUF5"/>
      <c r="LUG5"/>
      <c r="LUH5"/>
      <c r="LUI5"/>
      <c r="LUJ5"/>
      <c r="LUK5"/>
      <c r="LUL5"/>
      <c r="LUM5"/>
      <c r="LUN5"/>
      <c r="LUO5"/>
      <c r="LUP5"/>
      <c r="LUQ5"/>
      <c r="LUR5"/>
      <c r="LUS5"/>
      <c r="LUT5"/>
      <c r="LUU5"/>
      <c r="LUV5"/>
      <c r="LUW5"/>
      <c r="LUX5"/>
      <c r="LUY5"/>
      <c r="LUZ5"/>
      <c r="LVA5"/>
      <c r="LVB5"/>
      <c r="LVC5"/>
      <c r="LVD5"/>
      <c r="LVE5"/>
      <c r="LVF5"/>
      <c r="LVG5"/>
      <c r="LVH5"/>
      <c r="LVI5"/>
      <c r="LVJ5"/>
      <c r="LVK5"/>
      <c r="LVL5"/>
      <c r="LVM5"/>
      <c r="LVN5"/>
      <c r="LVO5"/>
      <c r="LVP5"/>
      <c r="LVQ5"/>
      <c r="LVR5"/>
      <c r="LVS5"/>
      <c r="LVT5"/>
      <c r="LVU5"/>
      <c r="LVV5"/>
      <c r="LVW5"/>
      <c r="LVX5"/>
      <c r="LVY5"/>
      <c r="LVZ5"/>
      <c r="LWA5"/>
      <c r="LWB5"/>
      <c r="LWC5"/>
      <c r="LWD5"/>
      <c r="LWE5"/>
      <c r="LWF5"/>
      <c r="LWG5"/>
      <c r="LWH5"/>
      <c r="LWI5"/>
      <c r="LWJ5"/>
      <c r="LWK5"/>
      <c r="LWL5"/>
      <c r="LWM5"/>
      <c r="LWN5"/>
      <c r="LWO5"/>
      <c r="LWP5"/>
      <c r="LWQ5"/>
      <c r="LWR5"/>
      <c r="LWS5"/>
      <c r="LWT5"/>
      <c r="LWU5"/>
      <c r="LWV5"/>
      <c r="LWW5"/>
      <c r="LWX5"/>
      <c r="LWY5"/>
      <c r="LWZ5"/>
      <c r="LXA5"/>
      <c r="LXB5"/>
      <c r="LXC5"/>
      <c r="LXD5"/>
      <c r="LXE5"/>
      <c r="LXF5"/>
      <c r="LXG5"/>
      <c r="LXH5"/>
      <c r="LXI5"/>
      <c r="LXJ5"/>
      <c r="LXK5"/>
      <c r="LXL5"/>
      <c r="LXM5"/>
      <c r="LXN5"/>
      <c r="LXO5"/>
      <c r="LXP5"/>
      <c r="LXQ5"/>
      <c r="LXR5"/>
      <c r="LXS5"/>
      <c r="LXT5"/>
      <c r="LXU5"/>
      <c r="LXV5"/>
      <c r="LXW5"/>
      <c r="LXX5"/>
      <c r="LXY5"/>
      <c r="LXZ5"/>
      <c r="LYA5"/>
      <c r="LYB5"/>
      <c r="LYC5"/>
      <c r="LYD5"/>
      <c r="LYE5"/>
      <c r="LYF5"/>
      <c r="LYG5"/>
      <c r="LYH5"/>
      <c r="LYI5"/>
      <c r="LYJ5"/>
      <c r="LYK5"/>
      <c r="LYL5"/>
      <c r="LYM5"/>
      <c r="LYN5"/>
      <c r="LYO5"/>
      <c r="LYP5"/>
      <c r="LYQ5"/>
      <c r="LYR5"/>
      <c r="LYS5"/>
      <c r="LYT5"/>
      <c r="LYU5"/>
      <c r="LYV5"/>
      <c r="LYW5"/>
      <c r="LYX5"/>
      <c r="LYY5"/>
      <c r="LYZ5"/>
      <c r="LZA5"/>
      <c r="LZB5"/>
      <c r="LZC5"/>
      <c r="LZD5"/>
      <c r="LZE5"/>
      <c r="LZF5"/>
      <c r="LZG5"/>
      <c r="LZH5"/>
      <c r="LZI5"/>
      <c r="LZJ5"/>
      <c r="LZK5"/>
      <c r="LZL5"/>
      <c r="LZM5"/>
      <c r="LZN5"/>
      <c r="LZO5"/>
      <c r="LZP5"/>
      <c r="LZQ5"/>
      <c r="LZR5"/>
      <c r="LZS5"/>
      <c r="LZT5"/>
      <c r="LZU5"/>
      <c r="LZV5"/>
      <c r="LZW5"/>
      <c r="LZX5"/>
      <c r="LZY5"/>
      <c r="LZZ5"/>
      <c r="MAA5"/>
      <c r="MAB5"/>
      <c r="MAC5"/>
      <c r="MAD5"/>
      <c r="MAE5"/>
      <c r="MAF5"/>
      <c r="MAG5"/>
      <c r="MAH5"/>
      <c r="MAI5"/>
      <c r="MAJ5"/>
      <c r="MAK5"/>
      <c r="MAL5"/>
      <c r="MAM5"/>
      <c r="MAN5"/>
      <c r="MAO5"/>
      <c r="MAP5"/>
      <c r="MAQ5"/>
      <c r="MAR5"/>
      <c r="MAS5"/>
      <c r="MAT5"/>
      <c r="MAU5"/>
      <c r="MAV5"/>
      <c r="MAW5"/>
      <c r="MAX5"/>
      <c r="MAY5"/>
      <c r="MAZ5"/>
      <c r="MBA5"/>
      <c r="MBB5"/>
      <c r="MBC5"/>
      <c r="MBD5"/>
      <c r="MBE5"/>
      <c r="MBF5"/>
      <c r="MBG5"/>
      <c r="MBH5"/>
      <c r="MBI5"/>
      <c r="MBJ5"/>
      <c r="MBK5"/>
      <c r="MBL5"/>
      <c r="MBM5"/>
      <c r="MBN5"/>
      <c r="MBO5"/>
      <c r="MBP5"/>
      <c r="MBQ5"/>
      <c r="MBR5"/>
      <c r="MBS5"/>
      <c r="MBT5"/>
      <c r="MBU5"/>
      <c r="MBV5"/>
      <c r="MBW5"/>
      <c r="MBX5"/>
      <c r="MBY5"/>
      <c r="MBZ5"/>
      <c r="MCA5"/>
      <c r="MCB5"/>
      <c r="MCC5"/>
      <c r="MCD5"/>
      <c r="MCE5"/>
      <c r="MCF5"/>
      <c r="MCG5"/>
      <c r="MCH5"/>
      <c r="MCI5"/>
      <c r="MCJ5"/>
      <c r="MCK5"/>
      <c r="MCL5"/>
      <c r="MCM5"/>
      <c r="MCN5"/>
      <c r="MCO5"/>
      <c r="MCP5"/>
      <c r="MCQ5"/>
      <c r="MCR5"/>
      <c r="MCS5"/>
      <c r="MCT5"/>
      <c r="MCU5"/>
      <c r="MCV5"/>
      <c r="MCW5"/>
      <c r="MCX5"/>
      <c r="MCY5"/>
      <c r="MCZ5"/>
      <c r="MDA5"/>
      <c r="MDB5"/>
      <c r="MDC5"/>
      <c r="MDD5"/>
      <c r="MDE5"/>
      <c r="MDF5"/>
      <c r="MDG5"/>
      <c r="MDH5"/>
      <c r="MDI5"/>
      <c r="MDJ5"/>
      <c r="MDK5"/>
      <c r="MDL5"/>
      <c r="MDM5"/>
      <c r="MDN5"/>
      <c r="MDO5"/>
      <c r="MDP5"/>
      <c r="MDQ5"/>
      <c r="MDR5"/>
      <c r="MDS5"/>
      <c r="MDT5"/>
      <c r="MDU5"/>
      <c r="MDV5"/>
      <c r="MDW5"/>
      <c r="MDX5"/>
      <c r="MDY5"/>
      <c r="MDZ5"/>
      <c r="MEA5"/>
      <c r="MEB5"/>
      <c r="MEC5"/>
      <c r="MED5"/>
      <c r="MEE5"/>
      <c r="MEF5"/>
      <c r="MEG5"/>
      <c r="MEH5"/>
      <c r="MEI5"/>
      <c r="MEJ5"/>
      <c r="MEK5"/>
      <c r="MEL5"/>
      <c r="MEM5"/>
      <c r="MEN5"/>
      <c r="MEO5"/>
      <c r="MEP5"/>
      <c r="MEQ5"/>
      <c r="MER5"/>
      <c r="MES5"/>
      <c r="MET5"/>
      <c r="MEU5"/>
      <c r="MEV5"/>
      <c r="MEW5"/>
      <c r="MEX5"/>
      <c r="MEY5"/>
      <c r="MEZ5"/>
      <c r="MFA5"/>
      <c r="MFB5"/>
      <c r="MFC5"/>
      <c r="MFD5"/>
      <c r="MFE5"/>
      <c r="MFF5"/>
      <c r="MFG5"/>
      <c r="MFH5"/>
      <c r="MFI5"/>
      <c r="MFJ5"/>
      <c r="MFK5"/>
      <c r="MFL5"/>
      <c r="MFM5"/>
      <c r="MFN5"/>
      <c r="MFO5"/>
      <c r="MFP5"/>
      <c r="MFQ5"/>
      <c r="MFR5"/>
      <c r="MFS5"/>
      <c r="MFT5"/>
      <c r="MFU5"/>
      <c r="MFV5"/>
      <c r="MFW5"/>
      <c r="MFX5"/>
      <c r="MFY5"/>
      <c r="MFZ5"/>
      <c r="MGA5"/>
      <c r="MGB5"/>
      <c r="MGC5"/>
      <c r="MGD5"/>
      <c r="MGE5"/>
      <c r="MGF5"/>
      <c r="MGG5"/>
      <c r="MGH5"/>
      <c r="MGI5"/>
      <c r="MGJ5"/>
      <c r="MGK5"/>
      <c r="MGL5"/>
      <c r="MGM5"/>
      <c r="MGN5"/>
      <c r="MGO5"/>
      <c r="MGP5"/>
      <c r="MGQ5"/>
      <c r="MGR5"/>
      <c r="MGS5"/>
      <c r="MGT5"/>
      <c r="MGU5"/>
      <c r="MGV5"/>
      <c r="MGW5"/>
      <c r="MGX5"/>
      <c r="MGY5"/>
      <c r="MGZ5"/>
      <c r="MHA5"/>
      <c r="MHB5"/>
      <c r="MHC5"/>
      <c r="MHD5"/>
      <c r="MHE5"/>
      <c r="MHF5"/>
      <c r="MHG5"/>
      <c r="MHH5"/>
      <c r="MHI5"/>
      <c r="MHJ5"/>
      <c r="MHK5"/>
      <c r="MHL5"/>
      <c r="MHM5"/>
      <c r="MHN5"/>
      <c r="MHO5"/>
      <c r="MHP5"/>
      <c r="MHQ5"/>
      <c r="MHR5"/>
      <c r="MHS5"/>
      <c r="MHT5"/>
      <c r="MHU5"/>
      <c r="MHV5"/>
      <c r="MHW5"/>
      <c r="MHX5"/>
      <c r="MHY5"/>
      <c r="MHZ5"/>
      <c r="MIA5"/>
      <c r="MIB5"/>
      <c r="MIC5"/>
      <c r="MID5"/>
      <c r="MIE5"/>
      <c r="MIF5"/>
      <c r="MIG5"/>
      <c r="MIH5"/>
      <c r="MII5"/>
      <c r="MIJ5"/>
      <c r="MIK5"/>
      <c r="MIL5"/>
      <c r="MIM5"/>
      <c r="MIN5"/>
      <c r="MIO5"/>
      <c r="MIP5"/>
      <c r="MIQ5"/>
      <c r="MIR5"/>
      <c r="MIS5"/>
      <c r="MIT5"/>
      <c r="MIU5"/>
      <c r="MIV5"/>
      <c r="MIW5"/>
      <c r="MIX5"/>
      <c r="MIY5"/>
      <c r="MIZ5"/>
      <c r="MJA5"/>
      <c r="MJB5"/>
      <c r="MJC5"/>
      <c r="MJD5"/>
      <c r="MJE5"/>
      <c r="MJF5"/>
      <c r="MJG5"/>
      <c r="MJH5"/>
      <c r="MJI5"/>
      <c r="MJJ5"/>
      <c r="MJK5"/>
      <c r="MJL5"/>
      <c r="MJM5"/>
      <c r="MJN5"/>
      <c r="MJO5"/>
      <c r="MJP5"/>
      <c r="MJQ5"/>
      <c r="MJR5"/>
      <c r="MJS5"/>
      <c r="MJT5"/>
      <c r="MJU5"/>
      <c r="MJV5"/>
      <c r="MJW5"/>
      <c r="MJX5"/>
      <c r="MJY5"/>
      <c r="MJZ5"/>
      <c r="MKA5"/>
      <c r="MKB5"/>
      <c r="MKC5"/>
      <c r="MKD5"/>
      <c r="MKE5"/>
      <c r="MKF5"/>
      <c r="MKG5"/>
      <c r="MKH5"/>
      <c r="MKI5"/>
      <c r="MKJ5"/>
      <c r="MKK5"/>
      <c r="MKL5"/>
      <c r="MKM5"/>
      <c r="MKN5"/>
      <c r="MKO5"/>
      <c r="MKP5"/>
      <c r="MKQ5"/>
      <c r="MKR5"/>
      <c r="MKS5"/>
      <c r="MKT5"/>
      <c r="MKU5"/>
      <c r="MKV5"/>
      <c r="MKW5"/>
      <c r="MKX5"/>
      <c r="MKY5"/>
      <c r="MKZ5"/>
      <c r="MLA5"/>
      <c r="MLB5"/>
      <c r="MLC5"/>
      <c r="MLD5"/>
      <c r="MLE5"/>
      <c r="MLF5"/>
      <c r="MLG5"/>
      <c r="MLH5"/>
      <c r="MLI5"/>
      <c r="MLJ5"/>
      <c r="MLK5"/>
      <c r="MLL5"/>
      <c r="MLM5"/>
      <c r="MLN5"/>
      <c r="MLO5"/>
      <c r="MLP5"/>
      <c r="MLQ5"/>
      <c r="MLR5"/>
      <c r="MLS5"/>
      <c r="MLT5"/>
      <c r="MLU5"/>
      <c r="MLV5"/>
      <c r="MLW5"/>
      <c r="MLX5"/>
      <c r="MLY5"/>
      <c r="MLZ5"/>
      <c r="MMA5"/>
      <c r="MMB5"/>
      <c r="MMC5"/>
      <c r="MMD5"/>
      <c r="MME5"/>
      <c r="MMF5"/>
      <c r="MMG5"/>
      <c r="MMH5"/>
      <c r="MMI5"/>
      <c r="MMJ5"/>
      <c r="MMK5"/>
      <c r="MML5"/>
      <c r="MMM5"/>
      <c r="MMN5"/>
      <c r="MMO5"/>
      <c r="MMP5"/>
      <c r="MMQ5"/>
      <c r="MMR5"/>
      <c r="MMS5"/>
      <c r="MMT5"/>
      <c r="MMU5"/>
      <c r="MMV5"/>
      <c r="MMW5"/>
      <c r="MMX5"/>
      <c r="MMY5"/>
      <c r="MMZ5"/>
      <c r="MNA5"/>
      <c r="MNB5"/>
      <c r="MNC5"/>
      <c r="MND5"/>
      <c r="MNE5"/>
      <c r="MNF5"/>
      <c r="MNG5"/>
      <c r="MNH5"/>
      <c r="MNI5"/>
      <c r="MNJ5"/>
      <c r="MNK5"/>
      <c r="MNL5"/>
      <c r="MNM5"/>
      <c r="MNN5"/>
      <c r="MNO5"/>
      <c r="MNP5"/>
      <c r="MNQ5"/>
      <c r="MNR5"/>
      <c r="MNS5"/>
      <c r="MNT5"/>
      <c r="MNU5"/>
      <c r="MNV5"/>
      <c r="MNW5"/>
      <c r="MNX5"/>
      <c r="MNY5"/>
      <c r="MNZ5"/>
      <c r="MOA5"/>
      <c r="MOB5"/>
      <c r="MOC5"/>
      <c r="MOD5"/>
      <c r="MOE5"/>
      <c r="MOF5"/>
      <c r="MOG5"/>
      <c r="MOH5"/>
      <c r="MOI5"/>
      <c r="MOJ5"/>
      <c r="MOK5"/>
      <c r="MOL5"/>
      <c r="MOM5"/>
      <c r="MON5"/>
      <c r="MOO5"/>
      <c r="MOP5"/>
      <c r="MOQ5"/>
      <c r="MOR5"/>
      <c r="MOS5"/>
      <c r="MOT5"/>
      <c r="MOU5"/>
      <c r="MOV5"/>
      <c r="MOW5"/>
      <c r="MOX5"/>
      <c r="MOY5"/>
      <c r="MOZ5"/>
      <c r="MPA5"/>
      <c r="MPB5"/>
      <c r="MPC5"/>
      <c r="MPD5"/>
      <c r="MPE5"/>
      <c r="MPF5"/>
      <c r="MPG5"/>
      <c r="MPH5"/>
      <c r="MPI5"/>
      <c r="MPJ5"/>
      <c r="MPK5"/>
      <c r="MPL5"/>
      <c r="MPM5"/>
      <c r="MPN5"/>
      <c r="MPO5"/>
      <c r="MPP5"/>
      <c r="MPQ5"/>
      <c r="MPR5"/>
      <c r="MPS5"/>
      <c r="MPT5"/>
      <c r="MPU5"/>
      <c r="MPV5"/>
      <c r="MPW5"/>
      <c r="MPX5"/>
      <c r="MPY5"/>
      <c r="MPZ5"/>
      <c r="MQA5"/>
      <c r="MQB5"/>
      <c r="MQC5"/>
      <c r="MQD5"/>
      <c r="MQE5"/>
      <c r="MQF5"/>
      <c r="MQG5"/>
      <c r="MQH5"/>
      <c r="MQI5"/>
      <c r="MQJ5"/>
      <c r="MQK5"/>
      <c r="MQL5"/>
      <c r="MQM5"/>
      <c r="MQN5"/>
      <c r="MQO5"/>
      <c r="MQP5"/>
      <c r="MQQ5"/>
      <c r="MQR5"/>
      <c r="MQS5"/>
      <c r="MQT5"/>
      <c r="MQU5"/>
      <c r="MQV5"/>
      <c r="MQW5"/>
      <c r="MQX5"/>
      <c r="MQY5"/>
      <c r="MQZ5"/>
      <c r="MRA5"/>
      <c r="MRB5"/>
      <c r="MRC5"/>
      <c r="MRD5"/>
      <c r="MRE5"/>
      <c r="MRF5"/>
      <c r="MRG5"/>
      <c r="MRH5"/>
      <c r="MRI5"/>
      <c r="MRJ5"/>
      <c r="MRK5"/>
      <c r="MRL5"/>
      <c r="MRM5"/>
      <c r="MRN5"/>
      <c r="MRO5"/>
      <c r="MRP5"/>
      <c r="MRQ5"/>
      <c r="MRR5"/>
      <c r="MRS5"/>
      <c r="MRT5"/>
      <c r="MRU5"/>
      <c r="MRV5"/>
      <c r="MRW5"/>
      <c r="MRX5"/>
      <c r="MRY5"/>
      <c r="MRZ5"/>
      <c r="MSA5"/>
      <c r="MSB5"/>
      <c r="MSC5"/>
      <c r="MSD5"/>
      <c r="MSE5"/>
      <c r="MSF5"/>
      <c r="MSG5"/>
      <c r="MSH5"/>
      <c r="MSI5"/>
      <c r="MSJ5"/>
      <c r="MSK5"/>
      <c r="MSL5"/>
      <c r="MSM5"/>
      <c r="MSN5"/>
      <c r="MSO5"/>
      <c r="MSP5"/>
      <c r="MSQ5"/>
      <c r="MSR5"/>
      <c r="MSS5"/>
      <c r="MST5"/>
      <c r="MSU5"/>
      <c r="MSV5"/>
      <c r="MSW5"/>
      <c r="MSX5"/>
      <c r="MSY5"/>
      <c r="MSZ5"/>
      <c r="MTA5"/>
      <c r="MTB5"/>
      <c r="MTC5"/>
      <c r="MTD5"/>
      <c r="MTE5"/>
      <c r="MTF5"/>
      <c r="MTG5"/>
      <c r="MTH5"/>
      <c r="MTI5"/>
      <c r="MTJ5"/>
      <c r="MTK5"/>
      <c r="MTL5"/>
      <c r="MTM5"/>
      <c r="MTN5"/>
      <c r="MTO5"/>
      <c r="MTP5"/>
      <c r="MTQ5"/>
      <c r="MTR5"/>
      <c r="MTS5"/>
      <c r="MTT5"/>
      <c r="MTU5"/>
      <c r="MTV5"/>
      <c r="MTW5"/>
      <c r="MTX5"/>
      <c r="MTY5"/>
      <c r="MTZ5"/>
      <c r="MUA5"/>
      <c r="MUB5"/>
      <c r="MUC5"/>
      <c r="MUD5"/>
      <c r="MUE5"/>
      <c r="MUF5"/>
      <c r="MUG5"/>
      <c r="MUH5"/>
      <c r="MUI5"/>
      <c r="MUJ5"/>
      <c r="MUK5"/>
      <c r="MUL5"/>
      <c r="MUM5"/>
      <c r="MUN5"/>
      <c r="MUO5"/>
      <c r="MUP5"/>
      <c r="MUQ5"/>
      <c r="MUR5"/>
      <c r="MUS5"/>
      <c r="MUT5"/>
      <c r="MUU5"/>
      <c r="MUV5"/>
      <c r="MUW5"/>
      <c r="MUX5"/>
      <c r="MUY5"/>
      <c r="MUZ5"/>
      <c r="MVA5"/>
      <c r="MVB5"/>
      <c r="MVC5"/>
      <c r="MVD5"/>
      <c r="MVE5"/>
      <c r="MVF5"/>
      <c r="MVG5"/>
      <c r="MVH5"/>
      <c r="MVI5"/>
      <c r="MVJ5"/>
      <c r="MVK5"/>
      <c r="MVL5"/>
      <c r="MVM5"/>
      <c r="MVN5"/>
      <c r="MVO5"/>
      <c r="MVP5"/>
      <c r="MVQ5"/>
      <c r="MVR5"/>
      <c r="MVS5"/>
      <c r="MVT5"/>
      <c r="MVU5"/>
      <c r="MVV5"/>
      <c r="MVW5"/>
      <c r="MVX5"/>
      <c r="MVY5"/>
      <c r="MVZ5"/>
      <c r="MWA5"/>
      <c r="MWB5"/>
      <c r="MWC5"/>
      <c r="MWD5"/>
      <c r="MWE5"/>
      <c r="MWF5"/>
      <c r="MWG5"/>
      <c r="MWH5"/>
      <c r="MWI5"/>
      <c r="MWJ5"/>
      <c r="MWK5"/>
      <c r="MWL5"/>
      <c r="MWM5"/>
      <c r="MWN5"/>
      <c r="MWO5"/>
      <c r="MWP5"/>
      <c r="MWQ5"/>
      <c r="MWR5"/>
      <c r="MWS5"/>
      <c r="MWT5"/>
      <c r="MWU5"/>
      <c r="MWV5"/>
      <c r="MWW5"/>
      <c r="MWX5"/>
      <c r="MWY5"/>
      <c r="MWZ5"/>
      <c r="MXA5"/>
      <c r="MXB5"/>
      <c r="MXC5"/>
      <c r="MXD5"/>
      <c r="MXE5"/>
      <c r="MXF5"/>
      <c r="MXG5"/>
      <c r="MXH5"/>
      <c r="MXI5"/>
      <c r="MXJ5"/>
      <c r="MXK5"/>
      <c r="MXL5"/>
      <c r="MXM5"/>
      <c r="MXN5"/>
      <c r="MXO5"/>
      <c r="MXP5"/>
      <c r="MXQ5"/>
      <c r="MXR5"/>
      <c r="MXS5"/>
      <c r="MXT5"/>
      <c r="MXU5"/>
      <c r="MXV5"/>
      <c r="MXW5"/>
      <c r="MXX5"/>
      <c r="MXY5"/>
      <c r="MXZ5"/>
      <c r="MYA5"/>
      <c r="MYB5"/>
      <c r="MYC5"/>
      <c r="MYD5"/>
      <c r="MYE5"/>
      <c r="MYF5"/>
      <c r="MYG5"/>
      <c r="MYH5"/>
      <c r="MYI5"/>
      <c r="MYJ5"/>
      <c r="MYK5"/>
      <c r="MYL5"/>
      <c r="MYM5"/>
      <c r="MYN5"/>
      <c r="MYO5"/>
      <c r="MYP5"/>
      <c r="MYQ5"/>
      <c r="MYR5"/>
      <c r="MYS5"/>
      <c r="MYT5"/>
      <c r="MYU5"/>
      <c r="MYV5"/>
      <c r="MYW5"/>
      <c r="MYX5"/>
      <c r="MYY5"/>
      <c r="MYZ5"/>
      <c r="MZA5"/>
      <c r="MZB5"/>
      <c r="MZC5"/>
      <c r="MZD5"/>
      <c r="MZE5"/>
      <c r="MZF5"/>
      <c r="MZG5"/>
      <c r="MZH5"/>
      <c r="MZI5"/>
      <c r="MZJ5"/>
      <c r="MZK5"/>
      <c r="MZL5"/>
      <c r="MZM5"/>
      <c r="MZN5"/>
      <c r="MZO5"/>
      <c r="MZP5"/>
      <c r="MZQ5"/>
      <c r="MZR5"/>
      <c r="MZS5"/>
      <c r="MZT5"/>
      <c r="MZU5"/>
      <c r="MZV5"/>
      <c r="MZW5"/>
      <c r="MZX5"/>
      <c r="MZY5"/>
      <c r="MZZ5"/>
      <c r="NAA5"/>
      <c r="NAB5"/>
      <c r="NAC5"/>
      <c r="NAD5"/>
      <c r="NAE5"/>
      <c r="NAF5"/>
      <c r="NAG5"/>
      <c r="NAH5"/>
      <c r="NAI5"/>
      <c r="NAJ5"/>
      <c r="NAK5"/>
      <c r="NAL5"/>
      <c r="NAM5"/>
      <c r="NAN5"/>
      <c r="NAO5"/>
      <c r="NAP5"/>
      <c r="NAQ5"/>
      <c r="NAR5"/>
      <c r="NAS5"/>
      <c r="NAT5"/>
      <c r="NAU5"/>
      <c r="NAV5"/>
      <c r="NAW5"/>
      <c r="NAX5"/>
      <c r="NAY5"/>
      <c r="NAZ5"/>
      <c r="NBA5"/>
      <c r="NBB5"/>
      <c r="NBC5"/>
      <c r="NBD5"/>
      <c r="NBE5"/>
      <c r="NBF5"/>
      <c r="NBG5"/>
      <c r="NBH5"/>
      <c r="NBI5"/>
      <c r="NBJ5"/>
      <c r="NBK5"/>
      <c r="NBL5"/>
      <c r="NBM5"/>
      <c r="NBN5"/>
      <c r="NBO5"/>
      <c r="NBP5"/>
      <c r="NBQ5"/>
      <c r="NBR5"/>
      <c r="NBS5"/>
      <c r="NBT5"/>
      <c r="NBU5"/>
      <c r="NBV5"/>
      <c r="NBW5"/>
      <c r="NBX5"/>
      <c r="NBY5"/>
      <c r="NBZ5"/>
      <c r="NCA5"/>
      <c r="NCB5"/>
      <c r="NCC5"/>
      <c r="NCD5"/>
      <c r="NCE5"/>
      <c r="NCF5"/>
      <c r="NCG5"/>
      <c r="NCH5"/>
      <c r="NCI5"/>
      <c r="NCJ5"/>
      <c r="NCK5"/>
      <c r="NCL5"/>
      <c r="NCM5"/>
      <c r="NCN5"/>
      <c r="NCO5"/>
      <c r="NCP5"/>
      <c r="NCQ5"/>
      <c r="NCR5"/>
      <c r="NCS5"/>
      <c r="NCT5"/>
      <c r="NCU5"/>
      <c r="NCV5"/>
      <c r="NCW5"/>
      <c r="NCX5"/>
      <c r="NCY5"/>
      <c r="NCZ5"/>
      <c r="NDA5"/>
      <c r="NDB5"/>
      <c r="NDC5"/>
      <c r="NDD5"/>
      <c r="NDE5"/>
      <c r="NDF5"/>
      <c r="NDG5"/>
      <c r="NDH5"/>
      <c r="NDI5"/>
      <c r="NDJ5"/>
      <c r="NDK5"/>
      <c r="NDL5"/>
      <c r="NDM5"/>
      <c r="NDN5"/>
      <c r="NDO5"/>
      <c r="NDP5"/>
      <c r="NDQ5"/>
      <c r="NDR5"/>
      <c r="NDS5"/>
      <c r="NDT5"/>
      <c r="NDU5"/>
      <c r="NDV5"/>
      <c r="NDW5"/>
      <c r="NDX5"/>
      <c r="NDY5"/>
      <c r="NDZ5"/>
      <c r="NEA5"/>
      <c r="NEB5"/>
      <c r="NEC5"/>
      <c r="NED5"/>
      <c r="NEE5"/>
      <c r="NEF5"/>
      <c r="NEG5"/>
      <c r="NEH5"/>
      <c r="NEI5"/>
      <c r="NEJ5"/>
      <c r="NEK5"/>
      <c r="NEL5"/>
      <c r="NEM5"/>
      <c r="NEN5"/>
      <c r="NEO5"/>
      <c r="NEP5"/>
      <c r="NEQ5"/>
      <c r="NER5"/>
      <c r="NES5"/>
      <c r="NET5"/>
      <c r="NEU5"/>
      <c r="NEV5"/>
      <c r="NEW5"/>
      <c r="NEX5"/>
      <c r="NEY5"/>
      <c r="NEZ5"/>
      <c r="NFA5"/>
      <c r="NFB5"/>
      <c r="NFC5"/>
      <c r="NFD5"/>
      <c r="NFE5"/>
      <c r="NFF5"/>
      <c r="NFG5"/>
      <c r="NFH5"/>
      <c r="NFI5"/>
      <c r="NFJ5"/>
      <c r="NFK5"/>
      <c r="NFL5"/>
      <c r="NFM5"/>
      <c r="NFN5"/>
      <c r="NFO5"/>
      <c r="NFP5"/>
      <c r="NFQ5"/>
      <c r="NFR5"/>
      <c r="NFS5"/>
      <c r="NFT5"/>
      <c r="NFU5"/>
      <c r="NFV5"/>
      <c r="NFW5"/>
      <c r="NFX5"/>
      <c r="NFY5"/>
      <c r="NFZ5"/>
      <c r="NGA5"/>
      <c r="NGB5"/>
      <c r="NGC5"/>
      <c r="NGD5"/>
      <c r="NGE5"/>
      <c r="NGF5"/>
      <c r="NGG5"/>
      <c r="NGH5"/>
      <c r="NGI5"/>
      <c r="NGJ5"/>
      <c r="NGK5"/>
      <c r="NGL5"/>
      <c r="NGM5"/>
      <c r="NGN5"/>
      <c r="NGO5"/>
      <c r="NGP5"/>
      <c r="NGQ5"/>
      <c r="NGR5"/>
      <c r="NGS5"/>
      <c r="NGT5"/>
      <c r="NGU5"/>
      <c r="NGV5"/>
      <c r="NGW5"/>
      <c r="NGX5"/>
      <c r="NGY5"/>
      <c r="NGZ5"/>
      <c r="NHA5"/>
      <c r="NHB5"/>
      <c r="NHC5"/>
      <c r="NHD5"/>
      <c r="NHE5"/>
      <c r="NHF5"/>
      <c r="NHG5"/>
      <c r="NHH5"/>
      <c r="NHI5"/>
      <c r="NHJ5"/>
      <c r="NHK5"/>
      <c r="NHL5"/>
      <c r="NHM5"/>
      <c r="NHN5"/>
      <c r="NHO5"/>
      <c r="NHP5"/>
      <c r="NHQ5"/>
      <c r="NHR5"/>
      <c r="NHS5"/>
      <c r="NHT5"/>
      <c r="NHU5"/>
      <c r="NHV5"/>
      <c r="NHW5"/>
      <c r="NHX5"/>
      <c r="NHY5"/>
      <c r="NHZ5"/>
      <c r="NIA5"/>
      <c r="NIB5"/>
      <c r="NIC5"/>
      <c r="NID5"/>
      <c r="NIE5"/>
      <c r="NIF5"/>
      <c r="NIG5"/>
      <c r="NIH5"/>
      <c r="NII5"/>
      <c r="NIJ5"/>
      <c r="NIK5"/>
      <c r="NIL5"/>
      <c r="NIM5"/>
      <c r="NIN5"/>
      <c r="NIO5"/>
      <c r="NIP5"/>
      <c r="NIQ5"/>
      <c r="NIR5"/>
      <c r="NIS5"/>
      <c r="NIT5"/>
      <c r="NIU5"/>
      <c r="NIV5"/>
      <c r="NIW5"/>
      <c r="NIX5"/>
      <c r="NIY5"/>
      <c r="NIZ5"/>
      <c r="NJA5"/>
      <c r="NJB5"/>
      <c r="NJC5"/>
      <c r="NJD5"/>
      <c r="NJE5"/>
      <c r="NJF5"/>
      <c r="NJG5"/>
      <c r="NJH5"/>
      <c r="NJI5"/>
      <c r="NJJ5"/>
      <c r="NJK5"/>
      <c r="NJL5"/>
      <c r="NJM5"/>
      <c r="NJN5"/>
      <c r="NJO5"/>
      <c r="NJP5"/>
      <c r="NJQ5"/>
      <c r="NJR5"/>
      <c r="NJS5"/>
      <c r="NJT5"/>
      <c r="NJU5"/>
      <c r="NJV5"/>
      <c r="NJW5"/>
      <c r="NJX5"/>
      <c r="NJY5"/>
      <c r="NJZ5"/>
      <c r="NKA5"/>
      <c r="NKB5"/>
      <c r="NKC5"/>
      <c r="NKD5"/>
      <c r="NKE5"/>
      <c r="NKF5"/>
      <c r="NKG5"/>
      <c r="NKH5"/>
      <c r="NKI5"/>
      <c r="NKJ5"/>
      <c r="NKK5"/>
      <c r="NKL5"/>
      <c r="NKM5"/>
      <c r="NKN5"/>
      <c r="NKO5"/>
      <c r="NKP5"/>
      <c r="NKQ5"/>
      <c r="NKR5"/>
      <c r="NKS5"/>
      <c r="NKT5"/>
      <c r="NKU5"/>
      <c r="NKV5"/>
      <c r="NKW5"/>
      <c r="NKX5"/>
      <c r="NKY5"/>
      <c r="NKZ5"/>
      <c r="NLA5"/>
      <c r="NLB5"/>
      <c r="NLC5"/>
      <c r="NLD5"/>
      <c r="NLE5"/>
      <c r="NLF5"/>
      <c r="NLG5"/>
      <c r="NLH5"/>
      <c r="NLI5"/>
      <c r="NLJ5"/>
      <c r="NLK5"/>
      <c r="NLL5"/>
      <c r="NLM5"/>
      <c r="NLN5"/>
      <c r="NLO5"/>
      <c r="NLP5"/>
      <c r="NLQ5"/>
      <c r="NLR5"/>
      <c r="NLS5"/>
      <c r="NLT5"/>
      <c r="NLU5"/>
      <c r="NLV5"/>
      <c r="NLW5"/>
      <c r="NLX5"/>
      <c r="NLY5"/>
      <c r="NLZ5"/>
      <c r="NMA5"/>
      <c r="NMB5"/>
      <c r="NMC5"/>
      <c r="NMD5"/>
      <c r="NME5"/>
      <c r="NMF5"/>
      <c r="NMG5"/>
      <c r="NMH5"/>
      <c r="NMI5"/>
      <c r="NMJ5"/>
      <c r="NMK5"/>
      <c r="NML5"/>
      <c r="NMM5"/>
      <c r="NMN5"/>
      <c r="NMO5"/>
      <c r="NMP5"/>
      <c r="NMQ5"/>
      <c r="NMR5"/>
      <c r="NMS5"/>
      <c r="NMT5"/>
      <c r="NMU5"/>
      <c r="NMV5"/>
      <c r="NMW5"/>
      <c r="NMX5"/>
      <c r="NMY5"/>
      <c r="NMZ5"/>
      <c r="NNA5"/>
      <c r="NNB5"/>
      <c r="NNC5"/>
      <c r="NND5"/>
      <c r="NNE5"/>
      <c r="NNF5"/>
      <c r="NNG5"/>
      <c r="NNH5"/>
      <c r="NNI5"/>
      <c r="NNJ5"/>
      <c r="NNK5"/>
      <c r="NNL5"/>
      <c r="NNM5"/>
      <c r="NNN5"/>
      <c r="NNO5"/>
      <c r="NNP5"/>
      <c r="NNQ5"/>
      <c r="NNR5"/>
      <c r="NNS5"/>
      <c r="NNT5"/>
      <c r="NNU5"/>
      <c r="NNV5"/>
      <c r="NNW5"/>
      <c r="NNX5"/>
      <c r="NNY5"/>
      <c r="NNZ5"/>
      <c r="NOA5"/>
      <c r="NOB5"/>
      <c r="NOC5"/>
      <c r="NOD5"/>
      <c r="NOE5"/>
      <c r="NOF5"/>
      <c r="NOG5"/>
      <c r="NOH5"/>
      <c r="NOI5"/>
      <c r="NOJ5"/>
      <c r="NOK5"/>
      <c r="NOL5"/>
      <c r="NOM5"/>
      <c r="NON5"/>
      <c r="NOO5"/>
      <c r="NOP5"/>
      <c r="NOQ5"/>
      <c r="NOR5"/>
      <c r="NOS5"/>
      <c r="NOT5"/>
      <c r="NOU5"/>
      <c r="NOV5"/>
      <c r="NOW5"/>
      <c r="NOX5"/>
      <c r="NOY5"/>
      <c r="NOZ5"/>
      <c r="NPA5"/>
      <c r="NPB5"/>
      <c r="NPC5"/>
      <c r="NPD5"/>
      <c r="NPE5"/>
      <c r="NPF5"/>
      <c r="NPG5"/>
      <c r="NPH5"/>
      <c r="NPI5"/>
      <c r="NPJ5"/>
      <c r="NPK5"/>
      <c r="NPL5"/>
      <c r="NPM5"/>
      <c r="NPN5"/>
      <c r="NPO5"/>
      <c r="NPP5"/>
      <c r="NPQ5"/>
      <c r="NPR5"/>
      <c r="NPS5"/>
      <c r="NPT5"/>
      <c r="NPU5"/>
      <c r="NPV5"/>
      <c r="NPW5"/>
      <c r="NPX5"/>
      <c r="NPY5"/>
      <c r="NPZ5"/>
      <c r="NQA5"/>
      <c r="NQB5"/>
      <c r="NQC5"/>
      <c r="NQD5"/>
      <c r="NQE5"/>
      <c r="NQF5"/>
      <c r="NQG5"/>
      <c r="NQH5"/>
      <c r="NQI5"/>
      <c r="NQJ5"/>
      <c r="NQK5"/>
      <c r="NQL5"/>
      <c r="NQM5"/>
      <c r="NQN5"/>
      <c r="NQO5"/>
      <c r="NQP5"/>
      <c r="NQQ5"/>
      <c r="NQR5"/>
      <c r="NQS5"/>
      <c r="NQT5"/>
      <c r="NQU5"/>
      <c r="NQV5"/>
      <c r="NQW5"/>
      <c r="NQX5"/>
      <c r="NQY5"/>
      <c r="NQZ5"/>
      <c r="NRA5"/>
      <c r="NRB5"/>
      <c r="NRC5"/>
      <c r="NRD5"/>
      <c r="NRE5"/>
      <c r="NRF5"/>
      <c r="NRG5"/>
      <c r="NRH5"/>
      <c r="NRI5"/>
      <c r="NRJ5"/>
      <c r="NRK5"/>
      <c r="NRL5"/>
      <c r="NRM5"/>
      <c r="NRN5"/>
      <c r="NRO5"/>
      <c r="NRP5"/>
      <c r="NRQ5"/>
      <c r="NRR5"/>
      <c r="NRS5"/>
      <c r="NRT5"/>
      <c r="NRU5"/>
      <c r="NRV5"/>
      <c r="NRW5"/>
      <c r="NRX5"/>
      <c r="NRY5"/>
      <c r="NRZ5"/>
      <c r="NSA5"/>
      <c r="NSB5"/>
      <c r="NSC5"/>
      <c r="NSD5"/>
      <c r="NSE5"/>
      <c r="NSF5"/>
      <c r="NSG5"/>
      <c r="NSH5"/>
      <c r="NSI5"/>
      <c r="NSJ5"/>
      <c r="NSK5"/>
      <c r="NSL5"/>
      <c r="NSM5"/>
      <c r="NSN5"/>
      <c r="NSO5"/>
      <c r="NSP5"/>
      <c r="NSQ5"/>
      <c r="NSR5"/>
      <c r="NSS5"/>
      <c r="NST5"/>
      <c r="NSU5"/>
      <c r="NSV5"/>
      <c r="NSW5"/>
      <c r="NSX5"/>
      <c r="NSY5"/>
      <c r="NSZ5"/>
      <c r="NTA5"/>
      <c r="NTB5"/>
      <c r="NTC5"/>
      <c r="NTD5"/>
      <c r="NTE5"/>
      <c r="NTF5"/>
      <c r="NTG5"/>
      <c r="NTH5"/>
      <c r="NTI5"/>
      <c r="NTJ5"/>
      <c r="NTK5"/>
      <c r="NTL5"/>
      <c r="NTM5"/>
      <c r="NTN5"/>
      <c r="NTO5"/>
      <c r="NTP5"/>
      <c r="NTQ5"/>
      <c r="NTR5"/>
      <c r="NTS5"/>
      <c r="NTT5"/>
      <c r="NTU5"/>
      <c r="NTV5"/>
      <c r="NTW5"/>
      <c r="NTX5"/>
      <c r="NTY5"/>
      <c r="NTZ5"/>
      <c r="NUA5"/>
      <c r="NUB5"/>
      <c r="NUC5"/>
      <c r="NUD5"/>
      <c r="NUE5"/>
      <c r="NUF5"/>
      <c r="NUG5"/>
      <c r="NUH5"/>
      <c r="NUI5"/>
      <c r="NUJ5"/>
      <c r="NUK5"/>
      <c r="NUL5"/>
      <c r="NUM5"/>
      <c r="NUN5"/>
      <c r="NUO5"/>
      <c r="NUP5"/>
      <c r="NUQ5"/>
      <c r="NUR5"/>
      <c r="NUS5"/>
      <c r="NUT5"/>
      <c r="NUU5"/>
      <c r="NUV5"/>
      <c r="NUW5"/>
      <c r="NUX5"/>
      <c r="NUY5"/>
      <c r="NUZ5"/>
      <c r="NVA5"/>
      <c r="NVB5"/>
      <c r="NVC5"/>
      <c r="NVD5"/>
      <c r="NVE5"/>
      <c r="NVF5"/>
      <c r="NVG5"/>
      <c r="NVH5"/>
      <c r="NVI5"/>
      <c r="NVJ5"/>
      <c r="NVK5"/>
      <c r="NVL5"/>
      <c r="NVM5"/>
      <c r="NVN5"/>
      <c r="NVO5"/>
      <c r="NVP5"/>
      <c r="NVQ5"/>
      <c r="NVR5"/>
      <c r="NVS5"/>
      <c r="NVT5"/>
      <c r="NVU5"/>
      <c r="NVV5"/>
      <c r="NVW5"/>
      <c r="NVX5"/>
      <c r="NVY5"/>
      <c r="NVZ5"/>
      <c r="NWA5"/>
      <c r="NWB5"/>
      <c r="NWC5"/>
      <c r="NWD5"/>
      <c r="NWE5"/>
      <c r="NWF5"/>
      <c r="NWG5"/>
      <c r="NWH5"/>
      <c r="NWI5"/>
      <c r="NWJ5"/>
      <c r="NWK5"/>
      <c r="NWL5"/>
      <c r="NWM5"/>
      <c r="NWN5"/>
      <c r="NWO5"/>
      <c r="NWP5"/>
      <c r="NWQ5"/>
      <c r="NWR5"/>
      <c r="NWS5"/>
      <c r="NWT5"/>
      <c r="NWU5"/>
      <c r="NWV5"/>
      <c r="NWW5"/>
      <c r="NWX5"/>
      <c r="NWY5"/>
      <c r="NWZ5"/>
      <c r="NXA5"/>
      <c r="NXB5"/>
      <c r="NXC5"/>
      <c r="NXD5"/>
      <c r="NXE5"/>
      <c r="NXF5"/>
      <c r="NXG5"/>
      <c r="NXH5"/>
      <c r="NXI5"/>
      <c r="NXJ5"/>
      <c r="NXK5"/>
      <c r="NXL5"/>
      <c r="NXM5"/>
      <c r="NXN5"/>
      <c r="NXO5"/>
      <c r="NXP5"/>
      <c r="NXQ5"/>
      <c r="NXR5"/>
      <c r="NXS5"/>
      <c r="NXT5"/>
      <c r="NXU5"/>
      <c r="NXV5"/>
      <c r="NXW5"/>
      <c r="NXX5"/>
      <c r="NXY5"/>
      <c r="NXZ5"/>
      <c r="NYA5"/>
      <c r="NYB5"/>
      <c r="NYC5"/>
      <c r="NYD5"/>
      <c r="NYE5"/>
      <c r="NYF5"/>
      <c r="NYG5"/>
      <c r="NYH5"/>
      <c r="NYI5"/>
      <c r="NYJ5"/>
      <c r="NYK5"/>
      <c r="NYL5"/>
      <c r="NYM5"/>
      <c r="NYN5"/>
      <c r="NYO5"/>
      <c r="NYP5"/>
      <c r="NYQ5"/>
      <c r="NYR5"/>
      <c r="NYS5"/>
      <c r="NYT5"/>
      <c r="NYU5"/>
      <c r="NYV5"/>
      <c r="NYW5"/>
      <c r="NYX5"/>
      <c r="NYY5"/>
      <c r="NYZ5"/>
      <c r="NZA5"/>
      <c r="NZB5"/>
      <c r="NZC5"/>
      <c r="NZD5"/>
      <c r="NZE5"/>
      <c r="NZF5"/>
      <c r="NZG5"/>
      <c r="NZH5"/>
      <c r="NZI5"/>
      <c r="NZJ5"/>
      <c r="NZK5"/>
      <c r="NZL5"/>
      <c r="NZM5"/>
      <c r="NZN5"/>
      <c r="NZO5"/>
      <c r="NZP5"/>
      <c r="NZQ5"/>
      <c r="NZR5"/>
      <c r="NZS5"/>
      <c r="NZT5"/>
      <c r="NZU5"/>
      <c r="NZV5"/>
      <c r="NZW5"/>
      <c r="NZX5"/>
      <c r="NZY5"/>
      <c r="NZZ5"/>
      <c r="OAA5"/>
      <c r="OAB5"/>
      <c r="OAC5"/>
      <c r="OAD5"/>
      <c r="OAE5"/>
      <c r="OAF5"/>
      <c r="OAG5"/>
      <c r="OAH5"/>
      <c r="OAI5"/>
      <c r="OAJ5"/>
      <c r="OAK5"/>
      <c r="OAL5"/>
      <c r="OAM5"/>
      <c r="OAN5"/>
      <c r="OAO5"/>
      <c r="OAP5"/>
      <c r="OAQ5"/>
      <c r="OAR5"/>
      <c r="OAS5"/>
      <c r="OAT5"/>
      <c r="OAU5"/>
      <c r="OAV5"/>
      <c r="OAW5"/>
      <c r="OAX5"/>
      <c r="OAY5"/>
      <c r="OAZ5"/>
      <c r="OBA5"/>
      <c r="OBB5"/>
      <c r="OBC5"/>
      <c r="OBD5"/>
      <c r="OBE5"/>
      <c r="OBF5"/>
      <c r="OBG5"/>
      <c r="OBH5"/>
      <c r="OBI5"/>
      <c r="OBJ5"/>
      <c r="OBK5"/>
      <c r="OBL5"/>
      <c r="OBM5"/>
      <c r="OBN5"/>
      <c r="OBO5"/>
      <c r="OBP5"/>
      <c r="OBQ5"/>
      <c r="OBR5"/>
      <c r="OBS5"/>
      <c r="OBT5"/>
      <c r="OBU5"/>
      <c r="OBV5"/>
      <c r="OBW5"/>
      <c r="OBX5"/>
      <c r="OBY5"/>
      <c r="OBZ5"/>
      <c r="OCA5"/>
      <c r="OCB5"/>
      <c r="OCC5"/>
      <c r="OCD5"/>
      <c r="OCE5"/>
      <c r="OCF5"/>
      <c r="OCG5"/>
      <c r="OCH5"/>
      <c r="OCI5"/>
      <c r="OCJ5"/>
      <c r="OCK5"/>
      <c r="OCL5"/>
      <c r="OCM5"/>
      <c r="OCN5"/>
      <c r="OCO5"/>
      <c r="OCP5"/>
      <c r="OCQ5"/>
      <c r="OCR5"/>
      <c r="OCS5"/>
      <c r="OCT5"/>
      <c r="OCU5"/>
      <c r="OCV5"/>
      <c r="OCW5"/>
      <c r="OCX5"/>
      <c r="OCY5"/>
      <c r="OCZ5"/>
      <c r="ODA5"/>
      <c r="ODB5"/>
      <c r="ODC5"/>
      <c r="ODD5"/>
      <c r="ODE5"/>
      <c r="ODF5"/>
      <c r="ODG5"/>
      <c r="ODH5"/>
      <c r="ODI5"/>
      <c r="ODJ5"/>
      <c r="ODK5"/>
      <c r="ODL5"/>
      <c r="ODM5"/>
      <c r="ODN5"/>
      <c r="ODO5"/>
      <c r="ODP5"/>
      <c r="ODQ5"/>
      <c r="ODR5"/>
      <c r="ODS5"/>
      <c r="ODT5"/>
      <c r="ODU5"/>
      <c r="ODV5"/>
      <c r="ODW5"/>
      <c r="ODX5"/>
      <c r="ODY5"/>
      <c r="ODZ5"/>
      <c r="OEA5"/>
      <c r="OEB5"/>
      <c r="OEC5"/>
      <c r="OED5"/>
      <c r="OEE5"/>
      <c r="OEF5"/>
      <c r="OEG5"/>
      <c r="OEH5"/>
      <c r="OEI5"/>
      <c r="OEJ5"/>
      <c r="OEK5"/>
      <c r="OEL5"/>
      <c r="OEM5"/>
      <c r="OEN5"/>
      <c r="OEO5"/>
      <c r="OEP5"/>
      <c r="OEQ5"/>
      <c r="OER5"/>
      <c r="OES5"/>
      <c r="OET5"/>
      <c r="OEU5"/>
      <c r="OEV5"/>
      <c r="OEW5"/>
      <c r="OEX5"/>
      <c r="OEY5"/>
      <c r="OEZ5"/>
      <c r="OFA5"/>
      <c r="OFB5"/>
      <c r="OFC5"/>
      <c r="OFD5"/>
      <c r="OFE5"/>
      <c r="OFF5"/>
      <c r="OFG5"/>
      <c r="OFH5"/>
      <c r="OFI5"/>
      <c r="OFJ5"/>
      <c r="OFK5"/>
      <c r="OFL5"/>
      <c r="OFM5"/>
      <c r="OFN5"/>
      <c r="OFO5"/>
      <c r="OFP5"/>
      <c r="OFQ5"/>
      <c r="OFR5"/>
      <c r="OFS5"/>
      <c r="OFT5"/>
      <c r="OFU5"/>
      <c r="OFV5"/>
      <c r="OFW5"/>
      <c r="OFX5"/>
      <c r="OFY5"/>
      <c r="OFZ5"/>
      <c r="OGA5"/>
      <c r="OGB5"/>
      <c r="OGC5"/>
      <c r="OGD5"/>
      <c r="OGE5"/>
      <c r="OGF5"/>
      <c r="OGG5"/>
      <c r="OGH5"/>
      <c r="OGI5"/>
      <c r="OGJ5"/>
      <c r="OGK5"/>
      <c r="OGL5"/>
      <c r="OGM5"/>
      <c r="OGN5"/>
      <c r="OGO5"/>
      <c r="OGP5"/>
      <c r="OGQ5"/>
      <c r="OGR5"/>
      <c r="OGS5"/>
      <c r="OGT5"/>
      <c r="OGU5"/>
      <c r="OGV5"/>
      <c r="OGW5"/>
      <c r="OGX5"/>
      <c r="OGY5"/>
      <c r="OGZ5"/>
      <c r="OHA5"/>
      <c r="OHB5"/>
      <c r="OHC5"/>
      <c r="OHD5"/>
      <c r="OHE5"/>
      <c r="OHF5"/>
      <c r="OHG5"/>
      <c r="OHH5"/>
      <c r="OHI5"/>
      <c r="OHJ5"/>
      <c r="OHK5"/>
      <c r="OHL5"/>
      <c r="OHM5"/>
      <c r="OHN5"/>
      <c r="OHO5"/>
      <c r="OHP5"/>
      <c r="OHQ5"/>
      <c r="OHR5"/>
      <c r="OHS5"/>
      <c r="OHT5"/>
      <c r="OHU5"/>
      <c r="OHV5"/>
      <c r="OHW5"/>
      <c r="OHX5"/>
      <c r="OHY5"/>
      <c r="OHZ5"/>
      <c r="OIA5"/>
      <c r="OIB5"/>
      <c r="OIC5"/>
      <c r="OID5"/>
      <c r="OIE5"/>
      <c r="OIF5"/>
      <c r="OIG5"/>
      <c r="OIH5"/>
      <c r="OII5"/>
      <c r="OIJ5"/>
      <c r="OIK5"/>
      <c r="OIL5"/>
      <c r="OIM5"/>
      <c r="OIN5"/>
      <c r="OIO5"/>
      <c r="OIP5"/>
      <c r="OIQ5"/>
      <c r="OIR5"/>
      <c r="OIS5"/>
      <c r="OIT5"/>
      <c r="OIU5"/>
      <c r="OIV5"/>
      <c r="OIW5"/>
      <c r="OIX5"/>
      <c r="OIY5"/>
      <c r="OIZ5"/>
      <c r="OJA5"/>
      <c r="OJB5"/>
      <c r="OJC5"/>
      <c r="OJD5"/>
      <c r="OJE5"/>
      <c r="OJF5"/>
      <c r="OJG5"/>
      <c r="OJH5"/>
      <c r="OJI5"/>
      <c r="OJJ5"/>
      <c r="OJK5"/>
      <c r="OJL5"/>
      <c r="OJM5"/>
      <c r="OJN5"/>
      <c r="OJO5"/>
      <c r="OJP5"/>
      <c r="OJQ5"/>
      <c r="OJR5"/>
      <c r="OJS5"/>
      <c r="OJT5"/>
      <c r="OJU5"/>
      <c r="OJV5"/>
      <c r="OJW5"/>
      <c r="OJX5"/>
      <c r="OJY5"/>
      <c r="OJZ5"/>
      <c r="OKA5"/>
      <c r="OKB5"/>
      <c r="OKC5"/>
      <c r="OKD5"/>
      <c r="OKE5"/>
      <c r="OKF5"/>
      <c r="OKG5"/>
      <c r="OKH5"/>
      <c r="OKI5"/>
      <c r="OKJ5"/>
      <c r="OKK5"/>
      <c r="OKL5"/>
      <c r="OKM5"/>
      <c r="OKN5"/>
      <c r="OKO5"/>
      <c r="OKP5"/>
      <c r="OKQ5"/>
      <c r="OKR5"/>
      <c r="OKS5"/>
      <c r="OKT5"/>
      <c r="OKU5"/>
      <c r="OKV5"/>
      <c r="OKW5"/>
      <c r="OKX5"/>
      <c r="OKY5"/>
      <c r="OKZ5"/>
      <c r="OLA5"/>
      <c r="OLB5"/>
      <c r="OLC5"/>
      <c r="OLD5"/>
      <c r="OLE5"/>
      <c r="OLF5"/>
      <c r="OLG5"/>
      <c r="OLH5"/>
      <c r="OLI5"/>
      <c r="OLJ5"/>
      <c r="OLK5"/>
      <c r="OLL5"/>
      <c r="OLM5"/>
      <c r="OLN5"/>
      <c r="OLO5"/>
      <c r="OLP5"/>
      <c r="OLQ5"/>
      <c r="OLR5"/>
      <c r="OLS5"/>
      <c r="OLT5"/>
      <c r="OLU5"/>
      <c r="OLV5"/>
      <c r="OLW5"/>
      <c r="OLX5"/>
      <c r="OLY5"/>
      <c r="OLZ5"/>
      <c r="OMA5"/>
      <c r="OMB5"/>
      <c r="OMC5"/>
      <c r="OMD5"/>
      <c r="OME5"/>
      <c r="OMF5"/>
      <c r="OMG5"/>
      <c r="OMH5"/>
      <c r="OMI5"/>
      <c r="OMJ5"/>
      <c r="OMK5"/>
      <c r="OML5"/>
      <c r="OMM5"/>
      <c r="OMN5"/>
      <c r="OMO5"/>
      <c r="OMP5"/>
      <c r="OMQ5"/>
      <c r="OMR5"/>
      <c r="OMS5"/>
      <c r="OMT5"/>
      <c r="OMU5"/>
      <c r="OMV5"/>
      <c r="OMW5"/>
      <c r="OMX5"/>
      <c r="OMY5"/>
      <c r="OMZ5"/>
      <c r="ONA5"/>
      <c r="ONB5"/>
      <c r="ONC5"/>
      <c r="OND5"/>
      <c r="ONE5"/>
      <c r="ONF5"/>
      <c r="ONG5"/>
      <c r="ONH5"/>
      <c r="ONI5"/>
      <c r="ONJ5"/>
      <c r="ONK5"/>
      <c r="ONL5"/>
      <c r="ONM5"/>
      <c r="ONN5"/>
      <c r="ONO5"/>
      <c r="ONP5"/>
      <c r="ONQ5"/>
      <c r="ONR5"/>
      <c r="ONS5"/>
      <c r="ONT5"/>
      <c r="ONU5"/>
      <c r="ONV5"/>
      <c r="ONW5"/>
      <c r="ONX5"/>
      <c r="ONY5"/>
      <c r="ONZ5"/>
      <c r="OOA5"/>
      <c r="OOB5"/>
      <c r="OOC5"/>
      <c r="OOD5"/>
      <c r="OOE5"/>
      <c r="OOF5"/>
      <c r="OOG5"/>
      <c r="OOH5"/>
      <c r="OOI5"/>
      <c r="OOJ5"/>
      <c r="OOK5"/>
      <c r="OOL5"/>
      <c r="OOM5"/>
      <c r="OON5"/>
      <c r="OOO5"/>
      <c r="OOP5"/>
      <c r="OOQ5"/>
      <c r="OOR5"/>
      <c r="OOS5"/>
      <c r="OOT5"/>
      <c r="OOU5"/>
      <c r="OOV5"/>
      <c r="OOW5"/>
      <c r="OOX5"/>
      <c r="OOY5"/>
      <c r="OOZ5"/>
      <c r="OPA5"/>
      <c r="OPB5"/>
      <c r="OPC5"/>
      <c r="OPD5"/>
      <c r="OPE5"/>
      <c r="OPF5"/>
      <c r="OPG5"/>
      <c r="OPH5"/>
      <c r="OPI5"/>
      <c r="OPJ5"/>
      <c r="OPK5"/>
      <c r="OPL5"/>
      <c r="OPM5"/>
      <c r="OPN5"/>
      <c r="OPO5"/>
      <c r="OPP5"/>
      <c r="OPQ5"/>
      <c r="OPR5"/>
      <c r="OPS5"/>
      <c r="OPT5"/>
      <c r="OPU5"/>
      <c r="OPV5"/>
      <c r="OPW5"/>
      <c r="OPX5"/>
      <c r="OPY5"/>
      <c r="OPZ5"/>
      <c r="OQA5"/>
      <c r="OQB5"/>
      <c r="OQC5"/>
      <c r="OQD5"/>
      <c r="OQE5"/>
      <c r="OQF5"/>
      <c r="OQG5"/>
      <c r="OQH5"/>
      <c r="OQI5"/>
      <c r="OQJ5"/>
      <c r="OQK5"/>
      <c r="OQL5"/>
      <c r="OQM5"/>
      <c r="OQN5"/>
      <c r="OQO5"/>
      <c r="OQP5"/>
      <c r="OQQ5"/>
      <c r="OQR5"/>
      <c r="OQS5"/>
      <c r="OQT5"/>
      <c r="OQU5"/>
      <c r="OQV5"/>
      <c r="OQW5"/>
      <c r="OQX5"/>
      <c r="OQY5"/>
      <c r="OQZ5"/>
      <c r="ORA5"/>
      <c r="ORB5"/>
      <c r="ORC5"/>
      <c r="ORD5"/>
      <c r="ORE5"/>
      <c r="ORF5"/>
      <c r="ORG5"/>
      <c r="ORH5"/>
      <c r="ORI5"/>
      <c r="ORJ5"/>
      <c r="ORK5"/>
      <c r="ORL5"/>
      <c r="ORM5"/>
      <c r="ORN5"/>
      <c r="ORO5"/>
      <c r="ORP5"/>
      <c r="ORQ5"/>
      <c r="ORR5"/>
      <c r="ORS5"/>
      <c r="ORT5"/>
      <c r="ORU5"/>
      <c r="ORV5"/>
      <c r="ORW5"/>
      <c r="ORX5"/>
      <c r="ORY5"/>
      <c r="ORZ5"/>
      <c r="OSA5"/>
      <c r="OSB5"/>
      <c r="OSC5"/>
      <c r="OSD5"/>
      <c r="OSE5"/>
      <c r="OSF5"/>
      <c r="OSG5"/>
      <c r="OSH5"/>
      <c r="OSI5"/>
      <c r="OSJ5"/>
      <c r="OSK5"/>
      <c r="OSL5"/>
      <c r="OSM5"/>
      <c r="OSN5"/>
      <c r="OSO5"/>
      <c r="OSP5"/>
      <c r="OSQ5"/>
      <c r="OSR5"/>
      <c r="OSS5"/>
      <c r="OST5"/>
      <c r="OSU5"/>
      <c r="OSV5"/>
      <c r="OSW5"/>
      <c r="OSX5"/>
      <c r="OSY5"/>
      <c r="OSZ5"/>
      <c r="OTA5"/>
      <c r="OTB5"/>
      <c r="OTC5"/>
      <c r="OTD5"/>
      <c r="OTE5"/>
      <c r="OTF5"/>
      <c r="OTG5"/>
      <c r="OTH5"/>
      <c r="OTI5"/>
      <c r="OTJ5"/>
      <c r="OTK5"/>
      <c r="OTL5"/>
      <c r="OTM5"/>
      <c r="OTN5"/>
      <c r="OTO5"/>
      <c r="OTP5"/>
      <c r="OTQ5"/>
      <c r="OTR5"/>
      <c r="OTS5"/>
      <c r="OTT5"/>
      <c r="OTU5"/>
      <c r="OTV5"/>
      <c r="OTW5"/>
      <c r="OTX5"/>
      <c r="OTY5"/>
      <c r="OTZ5"/>
      <c r="OUA5"/>
      <c r="OUB5"/>
      <c r="OUC5"/>
      <c r="OUD5"/>
      <c r="OUE5"/>
      <c r="OUF5"/>
      <c r="OUG5"/>
      <c r="OUH5"/>
      <c r="OUI5"/>
      <c r="OUJ5"/>
      <c r="OUK5"/>
      <c r="OUL5"/>
      <c r="OUM5"/>
      <c r="OUN5"/>
      <c r="OUO5"/>
      <c r="OUP5"/>
      <c r="OUQ5"/>
      <c r="OUR5"/>
      <c r="OUS5"/>
      <c r="OUT5"/>
      <c r="OUU5"/>
      <c r="OUV5"/>
      <c r="OUW5"/>
      <c r="OUX5"/>
      <c r="OUY5"/>
      <c r="OUZ5"/>
      <c r="OVA5"/>
      <c r="OVB5"/>
      <c r="OVC5"/>
      <c r="OVD5"/>
      <c r="OVE5"/>
      <c r="OVF5"/>
      <c r="OVG5"/>
      <c r="OVH5"/>
      <c r="OVI5"/>
      <c r="OVJ5"/>
      <c r="OVK5"/>
      <c r="OVL5"/>
      <c r="OVM5"/>
      <c r="OVN5"/>
      <c r="OVO5"/>
      <c r="OVP5"/>
      <c r="OVQ5"/>
      <c r="OVR5"/>
      <c r="OVS5"/>
      <c r="OVT5"/>
      <c r="OVU5"/>
      <c r="OVV5"/>
      <c r="OVW5"/>
      <c r="OVX5"/>
      <c r="OVY5"/>
      <c r="OVZ5"/>
      <c r="OWA5"/>
      <c r="OWB5"/>
      <c r="OWC5"/>
      <c r="OWD5"/>
      <c r="OWE5"/>
      <c r="OWF5"/>
      <c r="OWG5"/>
      <c r="OWH5"/>
      <c r="OWI5"/>
      <c r="OWJ5"/>
      <c r="OWK5"/>
      <c r="OWL5"/>
      <c r="OWM5"/>
      <c r="OWN5"/>
      <c r="OWO5"/>
      <c r="OWP5"/>
      <c r="OWQ5"/>
      <c r="OWR5"/>
      <c r="OWS5"/>
      <c r="OWT5"/>
      <c r="OWU5"/>
      <c r="OWV5"/>
      <c r="OWW5"/>
      <c r="OWX5"/>
      <c r="OWY5"/>
      <c r="OWZ5"/>
      <c r="OXA5"/>
      <c r="OXB5"/>
      <c r="OXC5"/>
      <c r="OXD5"/>
      <c r="OXE5"/>
      <c r="OXF5"/>
      <c r="OXG5"/>
      <c r="OXH5"/>
      <c r="OXI5"/>
      <c r="OXJ5"/>
      <c r="OXK5"/>
      <c r="OXL5"/>
      <c r="OXM5"/>
      <c r="OXN5"/>
      <c r="OXO5"/>
      <c r="OXP5"/>
      <c r="OXQ5"/>
      <c r="OXR5"/>
      <c r="OXS5"/>
      <c r="OXT5"/>
      <c r="OXU5"/>
      <c r="OXV5"/>
      <c r="OXW5"/>
      <c r="OXX5"/>
      <c r="OXY5"/>
      <c r="OXZ5"/>
      <c r="OYA5"/>
      <c r="OYB5"/>
      <c r="OYC5"/>
      <c r="OYD5"/>
      <c r="OYE5"/>
      <c r="OYF5"/>
      <c r="OYG5"/>
      <c r="OYH5"/>
      <c r="OYI5"/>
      <c r="OYJ5"/>
      <c r="OYK5"/>
      <c r="OYL5"/>
      <c r="OYM5"/>
      <c r="OYN5"/>
      <c r="OYO5"/>
      <c r="OYP5"/>
      <c r="OYQ5"/>
      <c r="OYR5"/>
      <c r="OYS5"/>
      <c r="OYT5"/>
      <c r="OYU5"/>
      <c r="OYV5"/>
      <c r="OYW5"/>
      <c r="OYX5"/>
      <c r="OYY5"/>
      <c r="OYZ5"/>
      <c r="OZA5"/>
      <c r="OZB5"/>
      <c r="OZC5"/>
      <c r="OZD5"/>
      <c r="OZE5"/>
      <c r="OZF5"/>
      <c r="OZG5"/>
      <c r="OZH5"/>
      <c r="OZI5"/>
      <c r="OZJ5"/>
      <c r="OZK5"/>
      <c r="OZL5"/>
      <c r="OZM5"/>
      <c r="OZN5"/>
      <c r="OZO5"/>
      <c r="OZP5"/>
      <c r="OZQ5"/>
      <c r="OZR5"/>
      <c r="OZS5"/>
      <c r="OZT5"/>
      <c r="OZU5"/>
      <c r="OZV5"/>
      <c r="OZW5"/>
      <c r="OZX5"/>
      <c r="OZY5"/>
      <c r="OZZ5"/>
      <c r="PAA5"/>
      <c r="PAB5"/>
      <c r="PAC5"/>
      <c r="PAD5"/>
      <c r="PAE5"/>
      <c r="PAF5"/>
      <c r="PAG5"/>
      <c r="PAH5"/>
      <c r="PAI5"/>
      <c r="PAJ5"/>
      <c r="PAK5"/>
      <c r="PAL5"/>
      <c r="PAM5"/>
      <c r="PAN5"/>
      <c r="PAO5"/>
      <c r="PAP5"/>
      <c r="PAQ5"/>
      <c r="PAR5"/>
      <c r="PAS5"/>
      <c r="PAT5"/>
      <c r="PAU5"/>
      <c r="PAV5"/>
      <c r="PAW5"/>
      <c r="PAX5"/>
      <c r="PAY5"/>
      <c r="PAZ5"/>
      <c r="PBA5"/>
      <c r="PBB5"/>
      <c r="PBC5"/>
      <c r="PBD5"/>
      <c r="PBE5"/>
      <c r="PBF5"/>
      <c r="PBG5"/>
      <c r="PBH5"/>
      <c r="PBI5"/>
      <c r="PBJ5"/>
      <c r="PBK5"/>
      <c r="PBL5"/>
      <c r="PBM5"/>
      <c r="PBN5"/>
      <c r="PBO5"/>
      <c r="PBP5"/>
      <c r="PBQ5"/>
      <c r="PBR5"/>
      <c r="PBS5"/>
      <c r="PBT5"/>
      <c r="PBU5"/>
      <c r="PBV5"/>
      <c r="PBW5"/>
      <c r="PBX5"/>
      <c r="PBY5"/>
      <c r="PBZ5"/>
      <c r="PCA5"/>
      <c r="PCB5"/>
      <c r="PCC5"/>
      <c r="PCD5"/>
      <c r="PCE5"/>
      <c r="PCF5"/>
      <c r="PCG5"/>
      <c r="PCH5"/>
      <c r="PCI5"/>
      <c r="PCJ5"/>
      <c r="PCK5"/>
      <c r="PCL5"/>
      <c r="PCM5"/>
      <c r="PCN5"/>
      <c r="PCO5"/>
      <c r="PCP5"/>
      <c r="PCQ5"/>
      <c r="PCR5"/>
      <c r="PCS5"/>
      <c r="PCT5"/>
      <c r="PCU5"/>
      <c r="PCV5"/>
      <c r="PCW5"/>
      <c r="PCX5"/>
      <c r="PCY5"/>
      <c r="PCZ5"/>
      <c r="PDA5"/>
      <c r="PDB5"/>
      <c r="PDC5"/>
      <c r="PDD5"/>
      <c r="PDE5"/>
      <c r="PDF5"/>
      <c r="PDG5"/>
      <c r="PDH5"/>
      <c r="PDI5"/>
      <c r="PDJ5"/>
      <c r="PDK5"/>
      <c r="PDL5"/>
      <c r="PDM5"/>
      <c r="PDN5"/>
      <c r="PDO5"/>
      <c r="PDP5"/>
      <c r="PDQ5"/>
      <c r="PDR5"/>
      <c r="PDS5"/>
      <c r="PDT5"/>
      <c r="PDU5"/>
      <c r="PDV5"/>
      <c r="PDW5"/>
      <c r="PDX5"/>
      <c r="PDY5"/>
      <c r="PDZ5"/>
      <c r="PEA5"/>
      <c r="PEB5"/>
      <c r="PEC5"/>
      <c r="PED5"/>
      <c r="PEE5"/>
      <c r="PEF5"/>
      <c r="PEG5"/>
      <c r="PEH5"/>
      <c r="PEI5"/>
      <c r="PEJ5"/>
      <c r="PEK5"/>
      <c r="PEL5"/>
      <c r="PEM5"/>
      <c r="PEN5"/>
      <c r="PEO5"/>
      <c r="PEP5"/>
      <c r="PEQ5"/>
      <c r="PER5"/>
      <c r="PES5"/>
      <c r="PET5"/>
      <c r="PEU5"/>
      <c r="PEV5"/>
      <c r="PEW5"/>
      <c r="PEX5"/>
      <c r="PEY5"/>
      <c r="PEZ5"/>
      <c r="PFA5"/>
      <c r="PFB5"/>
      <c r="PFC5"/>
      <c r="PFD5"/>
      <c r="PFE5"/>
      <c r="PFF5"/>
      <c r="PFG5"/>
      <c r="PFH5"/>
      <c r="PFI5"/>
      <c r="PFJ5"/>
      <c r="PFK5"/>
      <c r="PFL5"/>
      <c r="PFM5"/>
      <c r="PFN5"/>
      <c r="PFO5"/>
      <c r="PFP5"/>
      <c r="PFQ5"/>
      <c r="PFR5"/>
      <c r="PFS5"/>
      <c r="PFT5"/>
      <c r="PFU5"/>
      <c r="PFV5"/>
      <c r="PFW5"/>
      <c r="PFX5"/>
      <c r="PFY5"/>
      <c r="PFZ5"/>
      <c r="PGA5"/>
      <c r="PGB5"/>
      <c r="PGC5"/>
      <c r="PGD5"/>
      <c r="PGE5"/>
      <c r="PGF5"/>
      <c r="PGG5"/>
      <c r="PGH5"/>
      <c r="PGI5"/>
      <c r="PGJ5"/>
      <c r="PGK5"/>
      <c r="PGL5"/>
      <c r="PGM5"/>
      <c r="PGN5"/>
      <c r="PGO5"/>
      <c r="PGP5"/>
      <c r="PGQ5"/>
      <c r="PGR5"/>
      <c r="PGS5"/>
      <c r="PGT5"/>
      <c r="PGU5"/>
      <c r="PGV5"/>
      <c r="PGW5"/>
      <c r="PGX5"/>
      <c r="PGY5"/>
      <c r="PGZ5"/>
      <c r="PHA5"/>
      <c r="PHB5"/>
      <c r="PHC5"/>
      <c r="PHD5"/>
      <c r="PHE5"/>
      <c r="PHF5"/>
      <c r="PHG5"/>
      <c r="PHH5"/>
      <c r="PHI5"/>
      <c r="PHJ5"/>
      <c r="PHK5"/>
      <c r="PHL5"/>
      <c r="PHM5"/>
      <c r="PHN5"/>
      <c r="PHO5"/>
      <c r="PHP5"/>
      <c r="PHQ5"/>
      <c r="PHR5"/>
      <c r="PHS5"/>
      <c r="PHT5"/>
      <c r="PHU5"/>
      <c r="PHV5"/>
      <c r="PHW5"/>
      <c r="PHX5"/>
      <c r="PHY5"/>
      <c r="PHZ5"/>
      <c r="PIA5"/>
      <c r="PIB5"/>
      <c r="PIC5"/>
      <c r="PID5"/>
      <c r="PIE5"/>
      <c r="PIF5"/>
      <c r="PIG5"/>
      <c r="PIH5"/>
      <c r="PII5"/>
      <c r="PIJ5"/>
      <c r="PIK5"/>
      <c r="PIL5"/>
      <c r="PIM5"/>
      <c r="PIN5"/>
      <c r="PIO5"/>
      <c r="PIP5"/>
      <c r="PIQ5"/>
      <c r="PIR5"/>
      <c r="PIS5"/>
      <c r="PIT5"/>
      <c r="PIU5"/>
      <c r="PIV5"/>
      <c r="PIW5"/>
      <c r="PIX5"/>
      <c r="PIY5"/>
      <c r="PIZ5"/>
      <c r="PJA5"/>
      <c r="PJB5"/>
      <c r="PJC5"/>
      <c r="PJD5"/>
      <c r="PJE5"/>
      <c r="PJF5"/>
      <c r="PJG5"/>
      <c r="PJH5"/>
      <c r="PJI5"/>
      <c r="PJJ5"/>
      <c r="PJK5"/>
      <c r="PJL5"/>
      <c r="PJM5"/>
      <c r="PJN5"/>
      <c r="PJO5"/>
      <c r="PJP5"/>
      <c r="PJQ5"/>
      <c r="PJR5"/>
      <c r="PJS5"/>
      <c r="PJT5"/>
      <c r="PJU5"/>
      <c r="PJV5"/>
      <c r="PJW5"/>
      <c r="PJX5"/>
      <c r="PJY5"/>
      <c r="PJZ5"/>
      <c r="PKA5"/>
      <c r="PKB5"/>
      <c r="PKC5"/>
      <c r="PKD5"/>
      <c r="PKE5"/>
      <c r="PKF5"/>
      <c r="PKG5"/>
      <c r="PKH5"/>
      <c r="PKI5"/>
      <c r="PKJ5"/>
      <c r="PKK5"/>
      <c r="PKL5"/>
      <c r="PKM5"/>
      <c r="PKN5"/>
      <c r="PKO5"/>
      <c r="PKP5"/>
      <c r="PKQ5"/>
      <c r="PKR5"/>
      <c r="PKS5"/>
      <c r="PKT5"/>
      <c r="PKU5"/>
      <c r="PKV5"/>
      <c r="PKW5"/>
      <c r="PKX5"/>
      <c r="PKY5"/>
      <c r="PKZ5"/>
      <c r="PLA5"/>
      <c r="PLB5"/>
      <c r="PLC5"/>
      <c r="PLD5"/>
      <c r="PLE5"/>
      <c r="PLF5"/>
      <c r="PLG5"/>
      <c r="PLH5"/>
      <c r="PLI5"/>
      <c r="PLJ5"/>
      <c r="PLK5"/>
      <c r="PLL5"/>
      <c r="PLM5"/>
      <c r="PLN5"/>
      <c r="PLO5"/>
      <c r="PLP5"/>
      <c r="PLQ5"/>
      <c r="PLR5"/>
      <c r="PLS5"/>
      <c r="PLT5"/>
      <c r="PLU5"/>
      <c r="PLV5"/>
      <c r="PLW5"/>
      <c r="PLX5"/>
      <c r="PLY5"/>
      <c r="PLZ5"/>
      <c r="PMA5"/>
      <c r="PMB5"/>
      <c r="PMC5"/>
      <c r="PMD5"/>
      <c r="PME5"/>
      <c r="PMF5"/>
      <c r="PMG5"/>
      <c r="PMH5"/>
      <c r="PMI5"/>
      <c r="PMJ5"/>
      <c r="PMK5"/>
      <c r="PML5"/>
      <c r="PMM5"/>
      <c r="PMN5"/>
      <c r="PMO5"/>
      <c r="PMP5"/>
      <c r="PMQ5"/>
      <c r="PMR5"/>
      <c r="PMS5"/>
      <c r="PMT5"/>
      <c r="PMU5"/>
      <c r="PMV5"/>
      <c r="PMW5"/>
      <c r="PMX5"/>
      <c r="PMY5"/>
      <c r="PMZ5"/>
      <c r="PNA5"/>
      <c r="PNB5"/>
      <c r="PNC5"/>
      <c r="PND5"/>
      <c r="PNE5"/>
      <c r="PNF5"/>
      <c r="PNG5"/>
      <c r="PNH5"/>
      <c r="PNI5"/>
      <c r="PNJ5"/>
      <c r="PNK5"/>
      <c r="PNL5"/>
      <c r="PNM5"/>
      <c r="PNN5"/>
      <c r="PNO5"/>
      <c r="PNP5"/>
      <c r="PNQ5"/>
      <c r="PNR5"/>
      <c r="PNS5"/>
      <c r="PNT5"/>
      <c r="PNU5"/>
      <c r="PNV5"/>
      <c r="PNW5"/>
      <c r="PNX5"/>
      <c r="PNY5"/>
      <c r="PNZ5"/>
      <c r="POA5"/>
      <c r="POB5"/>
      <c r="POC5"/>
      <c r="POD5"/>
      <c r="POE5"/>
      <c r="POF5"/>
      <c r="POG5"/>
      <c r="POH5"/>
      <c r="POI5"/>
      <c r="POJ5"/>
      <c r="POK5"/>
      <c r="POL5"/>
      <c r="POM5"/>
      <c r="PON5"/>
      <c r="POO5"/>
      <c r="POP5"/>
      <c r="POQ5"/>
      <c r="POR5"/>
      <c r="POS5"/>
      <c r="POT5"/>
      <c r="POU5"/>
      <c r="POV5"/>
      <c r="POW5"/>
      <c r="POX5"/>
      <c r="POY5"/>
      <c r="POZ5"/>
      <c r="PPA5"/>
      <c r="PPB5"/>
      <c r="PPC5"/>
      <c r="PPD5"/>
      <c r="PPE5"/>
      <c r="PPF5"/>
      <c r="PPG5"/>
      <c r="PPH5"/>
      <c r="PPI5"/>
      <c r="PPJ5"/>
      <c r="PPK5"/>
      <c r="PPL5"/>
      <c r="PPM5"/>
      <c r="PPN5"/>
      <c r="PPO5"/>
      <c r="PPP5"/>
      <c r="PPQ5"/>
      <c r="PPR5"/>
      <c r="PPS5"/>
      <c r="PPT5"/>
      <c r="PPU5"/>
      <c r="PPV5"/>
      <c r="PPW5"/>
      <c r="PPX5"/>
      <c r="PPY5"/>
      <c r="PPZ5"/>
      <c r="PQA5"/>
      <c r="PQB5"/>
      <c r="PQC5"/>
      <c r="PQD5"/>
      <c r="PQE5"/>
      <c r="PQF5"/>
      <c r="PQG5"/>
      <c r="PQH5"/>
      <c r="PQI5"/>
      <c r="PQJ5"/>
      <c r="PQK5"/>
      <c r="PQL5"/>
      <c r="PQM5"/>
      <c r="PQN5"/>
      <c r="PQO5"/>
      <c r="PQP5"/>
      <c r="PQQ5"/>
      <c r="PQR5"/>
      <c r="PQS5"/>
      <c r="PQT5"/>
      <c r="PQU5"/>
      <c r="PQV5"/>
      <c r="PQW5"/>
      <c r="PQX5"/>
      <c r="PQY5"/>
      <c r="PQZ5"/>
      <c r="PRA5"/>
      <c r="PRB5"/>
      <c r="PRC5"/>
      <c r="PRD5"/>
      <c r="PRE5"/>
      <c r="PRF5"/>
      <c r="PRG5"/>
      <c r="PRH5"/>
      <c r="PRI5"/>
      <c r="PRJ5"/>
      <c r="PRK5"/>
      <c r="PRL5"/>
      <c r="PRM5"/>
      <c r="PRN5"/>
      <c r="PRO5"/>
      <c r="PRP5"/>
      <c r="PRQ5"/>
      <c r="PRR5"/>
      <c r="PRS5"/>
      <c r="PRT5"/>
      <c r="PRU5"/>
      <c r="PRV5"/>
      <c r="PRW5"/>
      <c r="PRX5"/>
      <c r="PRY5"/>
      <c r="PRZ5"/>
      <c r="PSA5"/>
      <c r="PSB5"/>
      <c r="PSC5"/>
      <c r="PSD5"/>
      <c r="PSE5"/>
      <c r="PSF5"/>
      <c r="PSG5"/>
      <c r="PSH5"/>
      <c r="PSI5"/>
      <c r="PSJ5"/>
      <c r="PSK5"/>
      <c r="PSL5"/>
      <c r="PSM5"/>
      <c r="PSN5"/>
      <c r="PSO5"/>
      <c r="PSP5"/>
      <c r="PSQ5"/>
      <c r="PSR5"/>
      <c r="PSS5"/>
      <c r="PST5"/>
      <c r="PSU5"/>
      <c r="PSV5"/>
      <c r="PSW5"/>
      <c r="PSX5"/>
      <c r="PSY5"/>
      <c r="PSZ5"/>
      <c r="PTA5"/>
      <c r="PTB5"/>
      <c r="PTC5"/>
      <c r="PTD5"/>
      <c r="PTE5"/>
      <c r="PTF5"/>
      <c r="PTG5"/>
      <c r="PTH5"/>
      <c r="PTI5"/>
      <c r="PTJ5"/>
      <c r="PTK5"/>
      <c r="PTL5"/>
      <c r="PTM5"/>
      <c r="PTN5"/>
      <c r="PTO5"/>
      <c r="PTP5"/>
      <c r="PTQ5"/>
      <c r="PTR5"/>
      <c r="PTS5"/>
      <c r="PTT5"/>
      <c r="PTU5"/>
      <c r="PTV5"/>
      <c r="PTW5"/>
      <c r="PTX5"/>
      <c r="PTY5"/>
      <c r="PTZ5"/>
      <c r="PUA5"/>
      <c r="PUB5"/>
      <c r="PUC5"/>
      <c r="PUD5"/>
      <c r="PUE5"/>
      <c r="PUF5"/>
      <c r="PUG5"/>
      <c r="PUH5"/>
      <c r="PUI5"/>
      <c r="PUJ5"/>
      <c r="PUK5"/>
      <c r="PUL5"/>
      <c r="PUM5"/>
      <c r="PUN5"/>
      <c r="PUO5"/>
      <c r="PUP5"/>
      <c r="PUQ5"/>
      <c r="PUR5"/>
      <c r="PUS5"/>
      <c r="PUT5"/>
      <c r="PUU5"/>
      <c r="PUV5"/>
      <c r="PUW5"/>
      <c r="PUX5"/>
      <c r="PUY5"/>
      <c r="PUZ5"/>
      <c r="PVA5"/>
      <c r="PVB5"/>
      <c r="PVC5"/>
      <c r="PVD5"/>
      <c r="PVE5"/>
      <c r="PVF5"/>
      <c r="PVG5"/>
      <c r="PVH5"/>
      <c r="PVI5"/>
      <c r="PVJ5"/>
      <c r="PVK5"/>
      <c r="PVL5"/>
      <c r="PVM5"/>
      <c r="PVN5"/>
      <c r="PVO5"/>
      <c r="PVP5"/>
      <c r="PVQ5"/>
      <c r="PVR5"/>
      <c r="PVS5"/>
      <c r="PVT5"/>
      <c r="PVU5"/>
      <c r="PVV5"/>
      <c r="PVW5"/>
      <c r="PVX5"/>
      <c r="PVY5"/>
      <c r="PVZ5"/>
      <c r="PWA5"/>
      <c r="PWB5"/>
      <c r="PWC5"/>
      <c r="PWD5"/>
      <c r="PWE5"/>
      <c r="PWF5"/>
      <c r="PWG5"/>
      <c r="PWH5"/>
      <c r="PWI5"/>
      <c r="PWJ5"/>
      <c r="PWK5"/>
      <c r="PWL5"/>
      <c r="PWM5"/>
      <c r="PWN5"/>
      <c r="PWO5"/>
      <c r="PWP5"/>
      <c r="PWQ5"/>
      <c r="PWR5"/>
      <c r="PWS5"/>
      <c r="PWT5"/>
      <c r="PWU5"/>
      <c r="PWV5"/>
      <c r="PWW5"/>
      <c r="PWX5"/>
      <c r="PWY5"/>
      <c r="PWZ5"/>
      <c r="PXA5"/>
      <c r="PXB5"/>
      <c r="PXC5"/>
      <c r="PXD5"/>
      <c r="PXE5"/>
      <c r="PXF5"/>
      <c r="PXG5"/>
      <c r="PXH5"/>
      <c r="PXI5"/>
      <c r="PXJ5"/>
      <c r="PXK5"/>
      <c r="PXL5"/>
      <c r="PXM5"/>
      <c r="PXN5"/>
      <c r="PXO5"/>
      <c r="PXP5"/>
      <c r="PXQ5"/>
      <c r="PXR5"/>
      <c r="PXS5"/>
      <c r="PXT5"/>
      <c r="PXU5"/>
      <c r="PXV5"/>
      <c r="PXW5"/>
      <c r="PXX5"/>
      <c r="PXY5"/>
      <c r="PXZ5"/>
      <c r="PYA5"/>
      <c r="PYB5"/>
      <c r="PYC5"/>
      <c r="PYD5"/>
      <c r="PYE5"/>
      <c r="PYF5"/>
      <c r="PYG5"/>
      <c r="PYH5"/>
      <c r="PYI5"/>
      <c r="PYJ5"/>
      <c r="PYK5"/>
      <c r="PYL5"/>
      <c r="PYM5"/>
      <c r="PYN5"/>
      <c r="PYO5"/>
      <c r="PYP5"/>
      <c r="PYQ5"/>
      <c r="PYR5"/>
      <c r="PYS5"/>
      <c r="PYT5"/>
      <c r="PYU5"/>
      <c r="PYV5"/>
      <c r="PYW5"/>
      <c r="PYX5"/>
      <c r="PYY5"/>
      <c r="PYZ5"/>
      <c r="PZA5"/>
      <c r="PZB5"/>
      <c r="PZC5"/>
      <c r="PZD5"/>
      <c r="PZE5"/>
      <c r="PZF5"/>
      <c r="PZG5"/>
      <c r="PZH5"/>
      <c r="PZI5"/>
      <c r="PZJ5"/>
      <c r="PZK5"/>
      <c r="PZL5"/>
      <c r="PZM5"/>
      <c r="PZN5"/>
      <c r="PZO5"/>
      <c r="PZP5"/>
      <c r="PZQ5"/>
      <c r="PZR5"/>
      <c r="PZS5"/>
      <c r="PZT5"/>
      <c r="PZU5"/>
      <c r="PZV5"/>
      <c r="PZW5"/>
      <c r="PZX5"/>
      <c r="PZY5"/>
      <c r="PZZ5"/>
      <c r="QAA5"/>
      <c r="QAB5"/>
      <c r="QAC5"/>
      <c r="QAD5"/>
      <c r="QAE5"/>
      <c r="QAF5"/>
      <c r="QAG5"/>
      <c r="QAH5"/>
      <c r="QAI5"/>
      <c r="QAJ5"/>
      <c r="QAK5"/>
      <c r="QAL5"/>
      <c r="QAM5"/>
      <c r="QAN5"/>
      <c r="QAO5"/>
      <c r="QAP5"/>
      <c r="QAQ5"/>
      <c r="QAR5"/>
      <c r="QAS5"/>
      <c r="QAT5"/>
      <c r="QAU5"/>
      <c r="QAV5"/>
      <c r="QAW5"/>
      <c r="QAX5"/>
      <c r="QAY5"/>
      <c r="QAZ5"/>
      <c r="QBA5"/>
      <c r="QBB5"/>
      <c r="QBC5"/>
      <c r="QBD5"/>
      <c r="QBE5"/>
      <c r="QBF5"/>
      <c r="QBG5"/>
      <c r="QBH5"/>
      <c r="QBI5"/>
      <c r="QBJ5"/>
      <c r="QBK5"/>
      <c r="QBL5"/>
      <c r="QBM5"/>
      <c r="QBN5"/>
      <c r="QBO5"/>
      <c r="QBP5"/>
      <c r="QBQ5"/>
      <c r="QBR5"/>
      <c r="QBS5"/>
      <c r="QBT5"/>
      <c r="QBU5"/>
      <c r="QBV5"/>
      <c r="QBW5"/>
      <c r="QBX5"/>
      <c r="QBY5"/>
      <c r="QBZ5"/>
      <c r="QCA5"/>
      <c r="QCB5"/>
      <c r="QCC5"/>
      <c r="QCD5"/>
      <c r="QCE5"/>
      <c r="QCF5"/>
      <c r="QCG5"/>
      <c r="QCH5"/>
      <c r="QCI5"/>
      <c r="QCJ5"/>
      <c r="QCK5"/>
      <c r="QCL5"/>
      <c r="QCM5"/>
      <c r="QCN5"/>
      <c r="QCO5"/>
      <c r="QCP5"/>
      <c r="QCQ5"/>
      <c r="QCR5"/>
      <c r="QCS5"/>
      <c r="QCT5"/>
      <c r="QCU5"/>
      <c r="QCV5"/>
      <c r="QCW5"/>
      <c r="QCX5"/>
      <c r="QCY5"/>
      <c r="QCZ5"/>
      <c r="QDA5"/>
      <c r="QDB5"/>
      <c r="QDC5"/>
      <c r="QDD5"/>
      <c r="QDE5"/>
      <c r="QDF5"/>
      <c r="QDG5"/>
      <c r="QDH5"/>
      <c r="QDI5"/>
      <c r="QDJ5"/>
      <c r="QDK5"/>
      <c r="QDL5"/>
      <c r="QDM5"/>
      <c r="QDN5"/>
      <c r="QDO5"/>
      <c r="QDP5"/>
      <c r="QDQ5"/>
      <c r="QDR5"/>
      <c r="QDS5"/>
      <c r="QDT5"/>
      <c r="QDU5"/>
      <c r="QDV5"/>
      <c r="QDW5"/>
      <c r="QDX5"/>
      <c r="QDY5"/>
      <c r="QDZ5"/>
      <c r="QEA5"/>
      <c r="QEB5"/>
      <c r="QEC5"/>
      <c r="QED5"/>
      <c r="QEE5"/>
      <c r="QEF5"/>
      <c r="QEG5"/>
      <c r="QEH5"/>
      <c r="QEI5"/>
      <c r="QEJ5"/>
      <c r="QEK5"/>
      <c r="QEL5"/>
      <c r="QEM5"/>
      <c r="QEN5"/>
      <c r="QEO5"/>
      <c r="QEP5"/>
      <c r="QEQ5"/>
      <c r="QER5"/>
      <c r="QES5"/>
      <c r="QET5"/>
      <c r="QEU5"/>
      <c r="QEV5"/>
      <c r="QEW5"/>
      <c r="QEX5"/>
      <c r="QEY5"/>
      <c r="QEZ5"/>
      <c r="QFA5"/>
      <c r="QFB5"/>
      <c r="QFC5"/>
      <c r="QFD5"/>
      <c r="QFE5"/>
      <c r="QFF5"/>
      <c r="QFG5"/>
      <c r="QFH5"/>
      <c r="QFI5"/>
      <c r="QFJ5"/>
      <c r="QFK5"/>
      <c r="QFL5"/>
      <c r="QFM5"/>
      <c r="QFN5"/>
      <c r="QFO5"/>
      <c r="QFP5"/>
      <c r="QFQ5"/>
      <c r="QFR5"/>
      <c r="QFS5"/>
      <c r="QFT5"/>
      <c r="QFU5"/>
      <c r="QFV5"/>
      <c r="QFW5"/>
      <c r="QFX5"/>
      <c r="QFY5"/>
      <c r="QFZ5"/>
      <c r="QGA5"/>
      <c r="QGB5"/>
      <c r="QGC5"/>
      <c r="QGD5"/>
      <c r="QGE5"/>
      <c r="QGF5"/>
      <c r="QGG5"/>
      <c r="QGH5"/>
      <c r="QGI5"/>
      <c r="QGJ5"/>
      <c r="QGK5"/>
      <c r="QGL5"/>
      <c r="QGM5"/>
      <c r="QGN5"/>
      <c r="QGO5"/>
      <c r="QGP5"/>
      <c r="QGQ5"/>
      <c r="QGR5"/>
      <c r="QGS5"/>
      <c r="QGT5"/>
      <c r="QGU5"/>
      <c r="QGV5"/>
      <c r="QGW5"/>
      <c r="QGX5"/>
      <c r="QGY5"/>
      <c r="QGZ5"/>
      <c r="QHA5"/>
      <c r="QHB5"/>
      <c r="QHC5"/>
      <c r="QHD5"/>
      <c r="QHE5"/>
      <c r="QHF5"/>
      <c r="QHG5"/>
      <c r="QHH5"/>
      <c r="QHI5"/>
      <c r="QHJ5"/>
      <c r="QHK5"/>
      <c r="QHL5"/>
      <c r="QHM5"/>
      <c r="QHN5"/>
      <c r="QHO5"/>
      <c r="QHP5"/>
      <c r="QHQ5"/>
      <c r="QHR5"/>
      <c r="QHS5"/>
      <c r="QHT5"/>
      <c r="QHU5"/>
      <c r="QHV5"/>
      <c r="QHW5"/>
      <c r="QHX5"/>
      <c r="QHY5"/>
      <c r="QHZ5"/>
      <c r="QIA5"/>
      <c r="QIB5"/>
      <c r="QIC5"/>
      <c r="QID5"/>
      <c r="QIE5"/>
      <c r="QIF5"/>
      <c r="QIG5"/>
      <c r="QIH5"/>
      <c r="QII5"/>
      <c r="QIJ5"/>
      <c r="QIK5"/>
      <c r="QIL5"/>
      <c r="QIM5"/>
      <c r="QIN5"/>
      <c r="QIO5"/>
      <c r="QIP5"/>
      <c r="QIQ5"/>
      <c r="QIR5"/>
      <c r="QIS5"/>
      <c r="QIT5"/>
      <c r="QIU5"/>
      <c r="QIV5"/>
      <c r="QIW5"/>
      <c r="QIX5"/>
      <c r="QIY5"/>
      <c r="QIZ5"/>
      <c r="QJA5"/>
      <c r="QJB5"/>
      <c r="QJC5"/>
      <c r="QJD5"/>
      <c r="QJE5"/>
      <c r="QJF5"/>
      <c r="QJG5"/>
      <c r="QJH5"/>
      <c r="QJI5"/>
      <c r="QJJ5"/>
      <c r="QJK5"/>
      <c r="QJL5"/>
      <c r="QJM5"/>
      <c r="QJN5"/>
      <c r="QJO5"/>
      <c r="QJP5"/>
      <c r="QJQ5"/>
      <c r="QJR5"/>
      <c r="QJS5"/>
      <c r="QJT5"/>
      <c r="QJU5"/>
      <c r="QJV5"/>
      <c r="QJW5"/>
      <c r="QJX5"/>
      <c r="QJY5"/>
      <c r="QJZ5"/>
      <c r="QKA5"/>
      <c r="QKB5"/>
      <c r="QKC5"/>
      <c r="QKD5"/>
      <c r="QKE5"/>
      <c r="QKF5"/>
      <c r="QKG5"/>
      <c r="QKH5"/>
      <c r="QKI5"/>
      <c r="QKJ5"/>
      <c r="QKK5"/>
      <c r="QKL5"/>
      <c r="QKM5"/>
      <c r="QKN5"/>
      <c r="QKO5"/>
      <c r="QKP5"/>
      <c r="QKQ5"/>
      <c r="QKR5"/>
      <c r="QKS5"/>
      <c r="QKT5"/>
      <c r="QKU5"/>
      <c r="QKV5"/>
      <c r="QKW5"/>
      <c r="QKX5"/>
      <c r="QKY5"/>
      <c r="QKZ5"/>
      <c r="QLA5"/>
      <c r="QLB5"/>
      <c r="QLC5"/>
      <c r="QLD5"/>
      <c r="QLE5"/>
      <c r="QLF5"/>
      <c r="QLG5"/>
      <c r="QLH5"/>
      <c r="QLI5"/>
      <c r="QLJ5"/>
      <c r="QLK5"/>
      <c r="QLL5"/>
      <c r="QLM5"/>
      <c r="QLN5"/>
      <c r="QLO5"/>
      <c r="QLP5"/>
      <c r="QLQ5"/>
      <c r="QLR5"/>
      <c r="QLS5"/>
      <c r="QLT5"/>
      <c r="QLU5"/>
      <c r="QLV5"/>
      <c r="QLW5"/>
      <c r="QLX5"/>
      <c r="QLY5"/>
      <c r="QLZ5"/>
      <c r="QMA5"/>
      <c r="QMB5"/>
      <c r="QMC5"/>
      <c r="QMD5"/>
      <c r="QME5"/>
      <c r="QMF5"/>
      <c r="QMG5"/>
      <c r="QMH5"/>
      <c r="QMI5"/>
      <c r="QMJ5"/>
      <c r="QMK5"/>
      <c r="QML5"/>
      <c r="QMM5"/>
      <c r="QMN5"/>
      <c r="QMO5"/>
      <c r="QMP5"/>
      <c r="QMQ5"/>
      <c r="QMR5"/>
      <c r="QMS5"/>
      <c r="QMT5"/>
      <c r="QMU5"/>
      <c r="QMV5"/>
      <c r="QMW5"/>
      <c r="QMX5"/>
      <c r="QMY5"/>
      <c r="QMZ5"/>
      <c r="QNA5"/>
      <c r="QNB5"/>
      <c r="QNC5"/>
      <c r="QND5"/>
      <c r="QNE5"/>
      <c r="QNF5"/>
      <c r="QNG5"/>
      <c r="QNH5"/>
      <c r="QNI5"/>
      <c r="QNJ5"/>
      <c r="QNK5"/>
      <c r="QNL5"/>
      <c r="QNM5"/>
      <c r="QNN5"/>
      <c r="QNO5"/>
      <c r="QNP5"/>
      <c r="QNQ5"/>
      <c r="QNR5"/>
      <c r="QNS5"/>
      <c r="QNT5"/>
      <c r="QNU5"/>
      <c r="QNV5"/>
      <c r="QNW5"/>
      <c r="QNX5"/>
      <c r="QNY5"/>
      <c r="QNZ5"/>
      <c r="QOA5"/>
      <c r="QOB5"/>
      <c r="QOC5"/>
      <c r="QOD5"/>
      <c r="QOE5"/>
      <c r="QOF5"/>
      <c r="QOG5"/>
      <c r="QOH5"/>
      <c r="QOI5"/>
      <c r="QOJ5"/>
      <c r="QOK5"/>
      <c r="QOL5"/>
      <c r="QOM5"/>
      <c r="QON5"/>
      <c r="QOO5"/>
      <c r="QOP5"/>
      <c r="QOQ5"/>
      <c r="QOR5"/>
      <c r="QOS5"/>
      <c r="QOT5"/>
      <c r="QOU5"/>
      <c r="QOV5"/>
      <c r="QOW5"/>
      <c r="QOX5"/>
      <c r="QOY5"/>
      <c r="QOZ5"/>
      <c r="QPA5"/>
      <c r="QPB5"/>
      <c r="QPC5"/>
      <c r="QPD5"/>
      <c r="QPE5"/>
      <c r="QPF5"/>
      <c r="QPG5"/>
      <c r="QPH5"/>
      <c r="QPI5"/>
      <c r="QPJ5"/>
      <c r="QPK5"/>
      <c r="QPL5"/>
      <c r="QPM5"/>
      <c r="QPN5"/>
      <c r="QPO5"/>
      <c r="QPP5"/>
      <c r="QPQ5"/>
      <c r="QPR5"/>
      <c r="QPS5"/>
      <c r="QPT5"/>
      <c r="QPU5"/>
      <c r="QPV5"/>
      <c r="QPW5"/>
      <c r="QPX5"/>
      <c r="QPY5"/>
      <c r="QPZ5"/>
      <c r="QQA5"/>
      <c r="QQB5"/>
      <c r="QQC5"/>
      <c r="QQD5"/>
      <c r="QQE5"/>
      <c r="QQF5"/>
      <c r="QQG5"/>
      <c r="QQH5"/>
      <c r="QQI5"/>
      <c r="QQJ5"/>
      <c r="QQK5"/>
      <c r="QQL5"/>
      <c r="QQM5"/>
      <c r="QQN5"/>
      <c r="QQO5"/>
      <c r="QQP5"/>
      <c r="QQQ5"/>
      <c r="QQR5"/>
      <c r="QQS5"/>
      <c r="QQT5"/>
      <c r="QQU5"/>
      <c r="QQV5"/>
      <c r="QQW5"/>
      <c r="QQX5"/>
      <c r="QQY5"/>
      <c r="QQZ5"/>
      <c r="QRA5"/>
      <c r="QRB5"/>
      <c r="QRC5"/>
      <c r="QRD5"/>
      <c r="QRE5"/>
      <c r="QRF5"/>
      <c r="QRG5"/>
      <c r="QRH5"/>
      <c r="QRI5"/>
      <c r="QRJ5"/>
      <c r="QRK5"/>
      <c r="QRL5"/>
      <c r="QRM5"/>
      <c r="QRN5"/>
      <c r="QRO5"/>
      <c r="QRP5"/>
      <c r="QRQ5"/>
      <c r="QRR5"/>
      <c r="QRS5"/>
      <c r="QRT5"/>
      <c r="QRU5"/>
      <c r="QRV5"/>
      <c r="QRW5"/>
      <c r="QRX5"/>
      <c r="QRY5"/>
      <c r="QRZ5"/>
      <c r="QSA5"/>
      <c r="QSB5"/>
      <c r="QSC5"/>
      <c r="QSD5"/>
      <c r="QSE5"/>
      <c r="QSF5"/>
      <c r="QSG5"/>
      <c r="QSH5"/>
      <c r="QSI5"/>
      <c r="QSJ5"/>
      <c r="QSK5"/>
      <c r="QSL5"/>
      <c r="QSM5"/>
      <c r="QSN5"/>
      <c r="QSO5"/>
      <c r="QSP5"/>
      <c r="QSQ5"/>
      <c r="QSR5"/>
      <c r="QSS5"/>
      <c r="QST5"/>
      <c r="QSU5"/>
      <c r="QSV5"/>
      <c r="QSW5"/>
      <c r="QSX5"/>
      <c r="QSY5"/>
      <c r="QSZ5"/>
      <c r="QTA5"/>
      <c r="QTB5"/>
      <c r="QTC5"/>
      <c r="QTD5"/>
      <c r="QTE5"/>
      <c r="QTF5"/>
      <c r="QTG5"/>
      <c r="QTH5"/>
      <c r="QTI5"/>
      <c r="QTJ5"/>
      <c r="QTK5"/>
      <c r="QTL5"/>
      <c r="QTM5"/>
      <c r="QTN5"/>
      <c r="QTO5"/>
      <c r="QTP5"/>
      <c r="QTQ5"/>
      <c r="QTR5"/>
      <c r="QTS5"/>
      <c r="QTT5"/>
      <c r="QTU5"/>
      <c r="QTV5"/>
      <c r="QTW5"/>
      <c r="QTX5"/>
      <c r="QTY5"/>
      <c r="QTZ5"/>
      <c r="QUA5"/>
      <c r="QUB5"/>
      <c r="QUC5"/>
      <c r="QUD5"/>
      <c r="QUE5"/>
      <c r="QUF5"/>
      <c r="QUG5"/>
      <c r="QUH5"/>
      <c r="QUI5"/>
      <c r="QUJ5"/>
      <c r="QUK5"/>
      <c r="QUL5"/>
      <c r="QUM5"/>
      <c r="QUN5"/>
      <c r="QUO5"/>
      <c r="QUP5"/>
      <c r="QUQ5"/>
      <c r="QUR5"/>
      <c r="QUS5"/>
      <c r="QUT5"/>
      <c r="QUU5"/>
      <c r="QUV5"/>
      <c r="QUW5"/>
      <c r="QUX5"/>
      <c r="QUY5"/>
      <c r="QUZ5"/>
      <c r="QVA5"/>
      <c r="QVB5"/>
      <c r="QVC5"/>
      <c r="QVD5"/>
      <c r="QVE5"/>
      <c r="QVF5"/>
      <c r="QVG5"/>
      <c r="QVH5"/>
      <c r="QVI5"/>
      <c r="QVJ5"/>
      <c r="QVK5"/>
      <c r="QVL5"/>
      <c r="QVM5"/>
      <c r="QVN5"/>
      <c r="QVO5"/>
      <c r="QVP5"/>
      <c r="QVQ5"/>
      <c r="QVR5"/>
      <c r="QVS5"/>
      <c r="QVT5"/>
      <c r="QVU5"/>
      <c r="QVV5"/>
      <c r="QVW5"/>
      <c r="QVX5"/>
      <c r="QVY5"/>
      <c r="QVZ5"/>
      <c r="QWA5"/>
      <c r="QWB5"/>
      <c r="QWC5"/>
      <c r="QWD5"/>
      <c r="QWE5"/>
      <c r="QWF5"/>
      <c r="QWG5"/>
      <c r="QWH5"/>
      <c r="QWI5"/>
      <c r="QWJ5"/>
      <c r="QWK5"/>
      <c r="QWL5"/>
      <c r="QWM5"/>
      <c r="QWN5"/>
      <c r="QWO5"/>
      <c r="QWP5"/>
      <c r="QWQ5"/>
      <c r="QWR5"/>
      <c r="QWS5"/>
      <c r="QWT5"/>
      <c r="QWU5"/>
      <c r="QWV5"/>
      <c r="QWW5"/>
      <c r="QWX5"/>
      <c r="QWY5"/>
      <c r="QWZ5"/>
      <c r="QXA5"/>
      <c r="QXB5"/>
      <c r="QXC5"/>
      <c r="QXD5"/>
      <c r="QXE5"/>
      <c r="QXF5"/>
      <c r="QXG5"/>
      <c r="QXH5"/>
      <c r="QXI5"/>
      <c r="QXJ5"/>
      <c r="QXK5"/>
      <c r="QXL5"/>
      <c r="QXM5"/>
      <c r="QXN5"/>
      <c r="QXO5"/>
      <c r="QXP5"/>
      <c r="QXQ5"/>
      <c r="QXR5"/>
      <c r="QXS5"/>
      <c r="QXT5"/>
      <c r="QXU5"/>
      <c r="QXV5"/>
      <c r="QXW5"/>
      <c r="QXX5"/>
      <c r="QXY5"/>
      <c r="QXZ5"/>
      <c r="QYA5"/>
      <c r="QYB5"/>
      <c r="QYC5"/>
      <c r="QYD5"/>
      <c r="QYE5"/>
      <c r="QYF5"/>
      <c r="QYG5"/>
      <c r="QYH5"/>
      <c r="QYI5"/>
      <c r="QYJ5"/>
      <c r="QYK5"/>
      <c r="QYL5"/>
      <c r="QYM5"/>
      <c r="QYN5"/>
      <c r="QYO5"/>
      <c r="QYP5"/>
      <c r="QYQ5"/>
      <c r="QYR5"/>
      <c r="QYS5"/>
      <c r="QYT5"/>
      <c r="QYU5"/>
      <c r="QYV5"/>
      <c r="QYW5"/>
      <c r="QYX5"/>
      <c r="QYY5"/>
      <c r="QYZ5"/>
      <c r="QZA5"/>
      <c r="QZB5"/>
      <c r="QZC5"/>
      <c r="QZD5"/>
      <c r="QZE5"/>
      <c r="QZF5"/>
      <c r="QZG5"/>
      <c r="QZH5"/>
      <c r="QZI5"/>
      <c r="QZJ5"/>
      <c r="QZK5"/>
      <c r="QZL5"/>
      <c r="QZM5"/>
      <c r="QZN5"/>
      <c r="QZO5"/>
      <c r="QZP5"/>
      <c r="QZQ5"/>
      <c r="QZR5"/>
      <c r="QZS5"/>
      <c r="QZT5"/>
      <c r="QZU5"/>
      <c r="QZV5"/>
      <c r="QZW5"/>
      <c r="QZX5"/>
      <c r="QZY5"/>
      <c r="QZZ5"/>
      <c r="RAA5"/>
      <c r="RAB5"/>
      <c r="RAC5"/>
      <c r="RAD5"/>
      <c r="RAE5"/>
      <c r="RAF5"/>
      <c r="RAG5"/>
      <c r="RAH5"/>
      <c r="RAI5"/>
      <c r="RAJ5"/>
      <c r="RAK5"/>
      <c r="RAL5"/>
      <c r="RAM5"/>
      <c r="RAN5"/>
      <c r="RAO5"/>
      <c r="RAP5"/>
      <c r="RAQ5"/>
      <c r="RAR5"/>
      <c r="RAS5"/>
      <c r="RAT5"/>
      <c r="RAU5"/>
      <c r="RAV5"/>
      <c r="RAW5"/>
      <c r="RAX5"/>
      <c r="RAY5"/>
      <c r="RAZ5"/>
      <c r="RBA5"/>
      <c r="RBB5"/>
      <c r="RBC5"/>
      <c r="RBD5"/>
      <c r="RBE5"/>
      <c r="RBF5"/>
      <c r="RBG5"/>
      <c r="RBH5"/>
      <c r="RBI5"/>
      <c r="RBJ5"/>
      <c r="RBK5"/>
      <c r="RBL5"/>
      <c r="RBM5"/>
      <c r="RBN5"/>
      <c r="RBO5"/>
      <c r="RBP5"/>
      <c r="RBQ5"/>
      <c r="RBR5"/>
      <c r="RBS5"/>
      <c r="RBT5"/>
      <c r="RBU5"/>
      <c r="RBV5"/>
      <c r="RBW5"/>
      <c r="RBX5"/>
      <c r="RBY5"/>
      <c r="RBZ5"/>
      <c r="RCA5"/>
      <c r="RCB5"/>
      <c r="RCC5"/>
      <c r="RCD5"/>
      <c r="RCE5"/>
      <c r="RCF5"/>
      <c r="RCG5"/>
      <c r="RCH5"/>
      <c r="RCI5"/>
      <c r="RCJ5"/>
      <c r="RCK5"/>
      <c r="RCL5"/>
      <c r="RCM5"/>
      <c r="RCN5"/>
      <c r="RCO5"/>
      <c r="RCP5"/>
      <c r="RCQ5"/>
      <c r="RCR5"/>
      <c r="RCS5"/>
      <c r="RCT5"/>
      <c r="RCU5"/>
      <c r="RCV5"/>
      <c r="RCW5"/>
      <c r="RCX5"/>
      <c r="RCY5"/>
      <c r="RCZ5"/>
      <c r="RDA5"/>
      <c r="RDB5"/>
      <c r="RDC5"/>
      <c r="RDD5"/>
      <c r="RDE5"/>
      <c r="RDF5"/>
      <c r="RDG5"/>
      <c r="RDH5"/>
      <c r="RDI5"/>
      <c r="RDJ5"/>
      <c r="RDK5"/>
      <c r="RDL5"/>
      <c r="RDM5"/>
      <c r="RDN5"/>
      <c r="RDO5"/>
      <c r="RDP5"/>
      <c r="RDQ5"/>
      <c r="RDR5"/>
      <c r="RDS5"/>
      <c r="RDT5"/>
      <c r="RDU5"/>
      <c r="RDV5"/>
      <c r="RDW5"/>
      <c r="RDX5"/>
      <c r="RDY5"/>
      <c r="RDZ5"/>
      <c r="REA5"/>
      <c r="REB5"/>
      <c r="REC5"/>
      <c r="RED5"/>
      <c r="REE5"/>
      <c r="REF5"/>
      <c r="REG5"/>
      <c r="REH5"/>
      <c r="REI5"/>
      <c r="REJ5"/>
      <c r="REK5"/>
      <c r="REL5"/>
      <c r="REM5"/>
      <c r="REN5"/>
      <c r="REO5"/>
      <c r="REP5"/>
      <c r="REQ5"/>
      <c r="RER5"/>
      <c r="RES5"/>
      <c r="RET5"/>
      <c r="REU5"/>
      <c r="REV5"/>
      <c r="REW5"/>
      <c r="REX5"/>
      <c r="REY5"/>
      <c r="REZ5"/>
      <c r="RFA5"/>
      <c r="RFB5"/>
      <c r="RFC5"/>
      <c r="RFD5"/>
      <c r="RFE5"/>
      <c r="RFF5"/>
      <c r="RFG5"/>
      <c r="RFH5"/>
      <c r="RFI5"/>
      <c r="RFJ5"/>
      <c r="RFK5"/>
      <c r="RFL5"/>
      <c r="RFM5"/>
      <c r="RFN5"/>
      <c r="RFO5"/>
      <c r="RFP5"/>
      <c r="RFQ5"/>
      <c r="RFR5"/>
      <c r="RFS5"/>
      <c r="RFT5"/>
      <c r="RFU5"/>
      <c r="RFV5"/>
      <c r="RFW5"/>
      <c r="RFX5"/>
      <c r="RFY5"/>
      <c r="RFZ5"/>
      <c r="RGA5"/>
      <c r="RGB5"/>
      <c r="RGC5"/>
      <c r="RGD5"/>
      <c r="RGE5"/>
      <c r="RGF5"/>
      <c r="RGG5"/>
      <c r="RGH5"/>
      <c r="RGI5"/>
      <c r="RGJ5"/>
      <c r="RGK5"/>
      <c r="RGL5"/>
      <c r="RGM5"/>
      <c r="RGN5"/>
      <c r="RGO5"/>
      <c r="RGP5"/>
      <c r="RGQ5"/>
      <c r="RGR5"/>
      <c r="RGS5"/>
      <c r="RGT5"/>
      <c r="RGU5"/>
      <c r="RGV5"/>
      <c r="RGW5"/>
      <c r="RGX5"/>
      <c r="RGY5"/>
      <c r="RGZ5"/>
      <c r="RHA5"/>
      <c r="RHB5"/>
      <c r="RHC5"/>
      <c r="RHD5"/>
      <c r="RHE5"/>
      <c r="RHF5"/>
      <c r="RHG5"/>
      <c r="RHH5"/>
      <c r="RHI5"/>
      <c r="RHJ5"/>
      <c r="RHK5"/>
      <c r="RHL5"/>
      <c r="RHM5"/>
      <c r="RHN5"/>
      <c r="RHO5"/>
      <c r="RHP5"/>
      <c r="RHQ5"/>
      <c r="RHR5"/>
      <c r="RHS5"/>
      <c r="RHT5"/>
      <c r="RHU5"/>
      <c r="RHV5"/>
      <c r="RHW5"/>
      <c r="RHX5"/>
      <c r="RHY5"/>
      <c r="RHZ5"/>
      <c r="RIA5"/>
      <c r="RIB5"/>
      <c r="RIC5"/>
      <c r="RID5"/>
      <c r="RIE5"/>
      <c r="RIF5"/>
      <c r="RIG5"/>
      <c r="RIH5"/>
      <c r="RII5"/>
      <c r="RIJ5"/>
      <c r="RIK5"/>
      <c r="RIL5"/>
      <c r="RIM5"/>
      <c r="RIN5"/>
      <c r="RIO5"/>
      <c r="RIP5"/>
      <c r="RIQ5"/>
      <c r="RIR5"/>
      <c r="RIS5"/>
      <c r="RIT5"/>
      <c r="RIU5"/>
      <c r="RIV5"/>
      <c r="RIW5"/>
      <c r="RIX5"/>
      <c r="RIY5"/>
      <c r="RIZ5"/>
      <c r="RJA5"/>
      <c r="RJB5"/>
      <c r="RJC5"/>
      <c r="RJD5"/>
      <c r="RJE5"/>
      <c r="RJF5"/>
      <c r="RJG5"/>
      <c r="RJH5"/>
      <c r="RJI5"/>
      <c r="RJJ5"/>
      <c r="RJK5"/>
      <c r="RJL5"/>
      <c r="RJM5"/>
      <c r="RJN5"/>
      <c r="RJO5"/>
      <c r="RJP5"/>
      <c r="RJQ5"/>
      <c r="RJR5"/>
      <c r="RJS5"/>
      <c r="RJT5"/>
      <c r="RJU5"/>
      <c r="RJV5"/>
      <c r="RJW5"/>
      <c r="RJX5"/>
      <c r="RJY5"/>
      <c r="RJZ5"/>
      <c r="RKA5"/>
      <c r="RKB5"/>
      <c r="RKC5"/>
      <c r="RKD5"/>
      <c r="RKE5"/>
      <c r="RKF5"/>
      <c r="RKG5"/>
      <c r="RKH5"/>
      <c r="RKI5"/>
      <c r="RKJ5"/>
      <c r="RKK5"/>
      <c r="RKL5"/>
      <c r="RKM5"/>
      <c r="RKN5"/>
      <c r="RKO5"/>
      <c r="RKP5"/>
      <c r="RKQ5"/>
      <c r="RKR5"/>
      <c r="RKS5"/>
      <c r="RKT5"/>
      <c r="RKU5"/>
      <c r="RKV5"/>
      <c r="RKW5"/>
      <c r="RKX5"/>
      <c r="RKY5"/>
      <c r="RKZ5"/>
      <c r="RLA5"/>
      <c r="RLB5"/>
      <c r="RLC5"/>
      <c r="RLD5"/>
      <c r="RLE5"/>
      <c r="RLF5"/>
      <c r="RLG5"/>
      <c r="RLH5"/>
      <c r="RLI5"/>
      <c r="RLJ5"/>
      <c r="RLK5"/>
      <c r="RLL5"/>
      <c r="RLM5"/>
      <c r="RLN5"/>
      <c r="RLO5"/>
      <c r="RLP5"/>
      <c r="RLQ5"/>
      <c r="RLR5"/>
      <c r="RLS5"/>
      <c r="RLT5"/>
      <c r="RLU5"/>
      <c r="RLV5"/>
      <c r="RLW5"/>
      <c r="RLX5"/>
      <c r="RLY5"/>
      <c r="RLZ5"/>
      <c r="RMA5"/>
      <c r="RMB5"/>
      <c r="RMC5"/>
      <c r="RMD5"/>
      <c r="RME5"/>
      <c r="RMF5"/>
      <c r="RMG5"/>
      <c r="RMH5"/>
      <c r="RMI5"/>
      <c r="RMJ5"/>
      <c r="RMK5"/>
      <c r="RML5"/>
      <c r="RMM5"/>
      <c r="RMN5"/>
      <c r="RMO5"/>
      <c r="RMP5"/>
      <c r="RMQ5"/>
      <c r="RMR5"/>
      <c r="RMS5"/>
      <c r="RMT5"/>
      <c r="RMU5"/>
      <c r="RMV5"/>
      <c r="RMW5"/>
      <c r="RMX5"/>
      <c r="RMY5"/>
      <c r="RMZ5"/>
      <c r="RNA5"/>
      <c r="RNB5"/>
      <c r="RNC5"/>
      <c r="RND5"/>
      <c r="RNE5"/>
      <c r="RNF5"/>
      <c r="RNG5"/>
      <c r="RNH5"/>
      <c r="RNI5"/>
      <c r="RNJ5"/>
      <c r="RNK5"/>
      <c r="RNL5"/>
      <c r="RNM5"/>
      <c r="RNN5"/>
      <c r="RNO5"/>
      <c r="RNP5"/>
      <c r="RNQ5"/>
      <c r="RNR5"/>
      <c r="RNS5"/>
      <c r="RNT5"/>
      <c r="RNU5"/>
      <c r="RNV5"/>
      <c r="RNW5"/>
      <c r="RNX5"/>
      <c r="RNY5"/>
      <c r="RNZ5"/>
      <c r="ROA5"/>
      <c r="ROB5"/>
      <c r="ROC5"/>
      <c r="ROD5"/>
      <c r="ROE5"/>
      <c r="ROF5"/>
      <c r="ROG5"/>
      <c r="ROH5"/>
      <c r="ROI5"/>
      <c r="ROJ5"/>
      <c r="ROK5"/>
      <c r="ROL5"/>
      <c r="ROM5"/>
      <c r="RON5"/>
      <c r="ROO5"/>
      <c r="ROP5"/>
      <c r="ROQ5"/>
      <c r="ROR5"/>
      <c r="ROS5"/>
      <c r="ROT5"/>
      <c r="ROU5"/>
      <c r="ROV5"/>
      <c r="ROW5"/>
      <c r="ROX5"/>
      <c r="ROY5"/>
      <c r="ROZ5"/>
      <c r="RPA5"/>
      <c r="RPB5"/>
      <c r="RPC5"/>
      <c r="RPD5"/>
      <c r="RPE5"/>
      <c r="RPF5"/>
      <c r="RPG5"/>
      <c r="RPH5"/>
      <c r="RPI5"/>
      <c r="RPJ5"/>
      <c r="RPK5"/>
      <c r="RPL5"/>
      <c r="RPM5"/>
      <c r="RPN5"/>
      <c r="RPO5"/>
      <c r="RPP5"/>
      <c r="RPQ5"/>
      <c r="RPR5"/>
      <c r="RPS5"/>
      <c r="RPT5"/>
      <c r="RPU5"/>
      <c r="RPV5"/>
      <c r="RPW5"/>
      <c r="RPX5"/>
      <c r="RPY5"/>
      <c r="RPZ5"/>
      <c r="RQA5"/>
      <c r="RQB5"/>
      <c r="RQC5"/>
      <c r="RQD5"/>
      <c r="RQE5"/>
      <c r="RQF5"/>
      <c r="RQG5"/>
      <c r="RQH5"/>
      <c r="RQI5"/>
      <c r="RQJ5"/>
      <c r="RQK5"/>
      <c r="RQL5"/>
      <c r="RQM5"/>
      <c r="RQN5"/>
      <c r="RQO5"/>
      <c r="RQP5"/>
      <c r="RQQ5"/>
      <c r="RQR5"/>
      <c r="RQS5"/>
      <c r="RQT5"/>
      <c r="RQU5"/>
      <c r="RQV5"/>
      <c r="RQW5"/>
      <c r="RQX5"/>
      <c r="RQY5"/>
      <c r="RQZ5"/>
      <c r="RRA5"/>
      <c r="RRB5"/>
      <c r="RRC5"/>
      <c r="RRD5"/>
      <c r="RRE5"/>
      <c r="RRF5"/>
      <c r="RRG5"/>
      <c r="RRH5"/>
      <c r="RRI5"/>
      <c r="RRJ5"/>
      <c r="RRK5"/>
      <c r="RRL5"/>
      <c r="RRM5"/>
      <c r="RRN5"/>
      <c r="RRO5"/>
      <c r="RRP5"/>
      <c r="RRQ5"/>
      <c r="RRR5"/>
      <c r="RRS5"/>
      <c r="RRT5"/>
      <c r="RRU5"/>
      <c r="RRV5"/>
      <c r="RRW5"/>
      <c r="RRX5"/>
      <c r="RRY5"/>
      <c r="RRZ5"/>
      <c r="RSA5"/>
      <c r="RSB5"/>
      <c r="RSC5"/>
      <c r="RSD5"/>
      <c r="RSE5"/>
      <c r="RSF5"/>
      <c r="RSG5"/>
      <c r="RSH5"/>
      <c r="RSI5"/>
      <c r="RSJ5"/>
      <c r="RSK5"/>
      <c r="RSL5"/>
      <c r="RSM5"/>
      <c r="RSN5"/>
      <c r="RSO5"/>
      <c r="RSP5"/>
      <c r="RSQ5"/>
      <c r="RSR5"/>
      <c r="RSS5"/>
      <c r="RST5"/>
      <c r="RSU5"/>
      <c r="RSV5"/>
      <c r="RSW5"/>
      <c r="RSX5"/>
      <c r="RSY5"/>
      <c r="RSZ5"/>
      <c r="RTA5"/>
      <c r="RTB5"/>
      <c r="RTC5"/>
      <c r="RTD5"/>
      <c r="RTE5"/>
      <c r="RTF5"/>
      <c r="RTG5"/>
      <c r="RTH5"/>
      <c r="RTI5"/>
      <c r="RTJ5"/>
      <c r="RTK5"/>
      <c r="RTL5"/>
      <c r="RTM5"/>
      <c r="RTN5"/>
      <c r="RTO5"/>
      <c r="RTP5"/>
      <c r="RTQ5"/>
      <c r="RTR5"/>
      <c r="RTS5"/>
      <c r="RTT5"/>
      <c r="RTU5"/>
      <c r="RTV5"/>
      <c r="RTW5"/>
      <c r="RTX5"/>
      <c r="RTY5"/>
      <c r="RTZ5"/>
      <c r="RUA5"/>
      <c r="RUB5"/>
      <c r="RUC5"/>
      <c r="RUD5"/>
      <c r="RUE5"/>
      <c r="RUF5"/>
      <c r="RUG5"/>
      <c r="RUH5"/>
      <c r="RUI5"/>
      <c r="RUJ5"/>
      <c r="RUK5"/>
      <c r="RUL5"/>
      <c r="RUM5"/>
      <c r="RUN5"/>
      <c r="RUO5"/>
      <c r="RUP5"/>
      <c r="RUQ5"/>
      <c r="RUR5"/>
      <c r="RUS5"/>
      <c r="RUT5"/>
      <c r="RUU5"/>
      <c r="RUV5"/>
      <c r="RUW5"/>
      <c r="RUX5"/>
      <c r="RUY5"/>
      <c r="RUZ5"/>
      <c r="RVA5"/>
      <c r="RVB5"/>
      <c r="RVC5"/>
      <c r="RVD5"/>
      <c r="RVE5"/>
      <c r="RVF5"/>
      <c r="RVG5"/>
      <c r="RVH5"/>
      <c r="RVI5"/>
      <c r="RVJ5"/>
      <c r="RVK5"/>
      <c r="RVL5"/>
      <c r="RVM5"/>
      <c r="RVN5"/>
      <c r="RVO5"/>
      <c r="RVP5"/>
      <c r="RVQ5"/>
      <c r="RVR5"/>
      <c r="RVS5"/>
      <c r="RVT5"/>
      <c r="RVU5"/>
      <c r="RVV5"/>
      <c r="RVW5"/>
      <c r="RVX5"/>
      <c r="RVY5"/>
      <c r="RVZ5"/>
      <c r="RWA5"/>
      <c r="RWB5"/>
      <c r="RWC5"/>
      <c r="RWD5"/>
      <c r="RWE5"/>
      <c r="RWF5"/>
      <c r="RWG5"/>
      <c r="RWH5"/>
      <c r="RWI5"/>
      <c r="RWJ5"/>
      <c r="RWK5"/>
      <c r="RWL5"/>
      <c r="RWM5"/>
      <c r="RWN5"/>
      <c r="RWO5"/>
      <c r="RWP5"/>
      <c r="RWQ5"/>
      <c r="RWR5"/>
      <c r="RWS5"/>
      <c r="RWT5"/>
      <c r="RWU5"/>
      <c r="RWV5"/>
      <c r="RWW5"/>
      <c r="RWX5"/>
      <c r="RWY5"/>
      <c r="RWZ5"/>
      <c r="RXA5"/>
      <c r="RXB5"/>
      <c r="RXC5"/>
      <c r="RXD5"/>
      <c r="RXE5"/>
      <c r="RXF5"/>
      <c r="RXG5"/>
      <c r="RXH5"/>
      <c r="RXI5"/>
      <c r="RXJ5"/>
      <c r="RXK5"/>
      <c r="RXL5"/>
      <c r="RXM5"/>
      <c r="RXN5"/>
      <c r="RXO5"/>
      <c r="RXP5"/>
      <c r="RXQ5"/>
      <c r="RXR5"/>
      <c r="RXS5"/>
      <c r="RXT5"/>
      <c r="RXU5"/>
      <c r="RXV5"/>
      <c r="RXW5"/>
      <c r="RXX5"/>
      <c r="RXY5"/>
      <c r="RXZ5"/>
      <c r="RYA5"/>
      <c r="RYB5"/>
      <c r="RYC5"/>
      <c r="RYD5"/>
      <c r="RYE5"/>
      <c r="RYF5"/>
      <c r="RYG5"/>
      <c r="RYH5"/>
      <c r="RYI5"/>
      <c r="RYJ5"/>
      <c r="RYK5"/>
      <c r="RYL5"/>
      <c r="RYM5"/>
      <c r="RYN5"/>
      <c r="RYO5"/>
      <c r="RYP5"/>
      <c r="RYQ5"/>
      <c r="RYR5"/>
      <c r="RYS5"/>
      <c r="RYT5"/>
      <c r="RYU5"/>
      <c r="RYV5"/>
      <c r="RYW5"/>
      <c r="RYX5"/>
      <c r="RYY5"/>
      <c r="RYZ5"/>
      <c r="RZA5"/>
      <c r="RZB5"/>
      <c r="RZC5"/>
      <c r="RZD5"/>
      <c r="RZE5"/>
      <c r="RZF5"/>
      <c r="RZG5"/>
      <c r="RZH5"/>
      <c r="RZI5"/>
      <c r="RZJ5"/>
      <c r="RZK5"/>
      <c r="RZL5"/>
      <c r="RZM5"/>
      <c r="RZN5"/>
      <c r="RZO5"/>
      <c r="RZP5"/>
      <c r="RZQ5"/>
      <c r="RZR5"/>
      <c r="RZS5"/>
      <c r="RZT5"/>
      <c r="RZU5"/>
      <c r="RZV5"/>
      <c r="RZW5"/>
      <c r="RZX5"/>
      <c r="RZY5"/>
      <c r="RZZ5"/>
      <c r="SAA5"/>
      <c r="SAB5"/>
      <c r="SAC5"/>
      <c r="SAD5"/>
      <c r="SAE5"/>
      <c r="SAF5"/>
      <c r="SAG5"/>
      <c r="SAH5"/>
      <c r="SAI5"/>
      <c r="SAJ5"/>
      <c r="SAK5"/>
      <c r="SAL5"/>
      <c r="SAM5"/>
      <c r="SAN5"/>
      <c r="SAO5"/>
      <c r="SAP5"/>
      <c r="SAQ5"/>
      <c r="SAR5"/>
      <c r="SAS5"/>
      <c r="SAT5"/>
      <c r="SAU5"/>
      <c r="SAV5"/>
      <c r="SAW5"/>
      <c r="SAX5"/>
      <c r="SAY5"/>
      <c r="SAZ5"/>
      <c r="SBA5"/>
      <c r="SBB5"/>
      <c r="SBC5"/>
      <c r="SBD5"/>
      <c r="SBE5"/>
      <c r="SBF5"/>
      <c r="SBG5"/>
      <c r="SBH5"/>
      <c r="SBI5"/>
      <c r="SBJ5"/>
      <c r="SBK5"/>
      <c r="SBL5"/>
      <c r="SBM5"/>
      <c r="SBN5"/>
      <c r="SBO5"/>
      <c r="SBP5"/>
      <c r="SBQ5"/>
      <c r="SBR5"/>
      <c r="SBS5"/>
      <c r="SBT5"/>
      <c r="SBU5"/>
      <c r="SBV5"/>
      <c r="SBW5"/>
      <c r="SBX5"/>
      <c r="SBY5"/>
      <c r="SBZ5"/>
      <c r="SCA5"/>
      <c r="SCB5"/>
      <c r="SCC5"/>
      <c r="SCD5"/>
      <c r="SCE5"/>
      <c r="SCF5"/>
      <c r="SCG5"/>
      <c r="SCH5"/>
      <c r="SCI5"/>
      <c r="SCJ5"/>
      <c r="SCK5"/>
      <c r="SCL5"/>
      <c r="SCM5"/>
      <c r="SCN5"/>
      <c r="SCO5"/>
      <c r="SCP5"/>
      <c r="SCQ5"/>
      <c r="SCR5"/>
      <c r="SCS5"/>
      <c r="SCT5"/>
      <c r="SCU5"/>
      <c r="SCV5"/>
      <c r="SCW5"/>
      <c r="SCX5"/>
      <c r="SCY5"/>
      <c r="SCZ5"/>
      <c r="SDA5"/>
      <c r="SDB5"/>
      <c r="SDC5"/>
      <c r="SDD5"/>
      <c r="SDE5"/>
      <c r="SDF5"/>
      <c r="SDG5"/>
      <c r="SDH5"/>
      <c r="SDI5"/>
      <c r="SDJ5"/>
      <c r="SDK5"/>
      <c r="SDL5"/>
      <c r="SDM5"/>
      <c r="SDN5"/>
      <c r="SDO5"/>
      <c r="SDP5"/>
      <c r="SDQ5"/>
      <c r="SDR5"/>
      <c r="SDS5"/>
      <c r="SDT5"/>
      <c r="SDU5"/>
      <c r="SDV5"/>
      <c r="SDW5"/>
      <c r="SDX5"/>
      <c r="SDY5"/>
      <c r="SDZ5"/>
      <c r="SEA5"/>
      <c r="SEB5"/>
      <c r="SEC5"/>
      <c r="SED5"/>
      <c r="SEE5"/>
      <c r="SEF5"/>
      <c r="SEG5"/>
      <c r="SEH5"/>
      <c r="SEI5"/>
      <c r="SEJ5"/>
      <c r="SEK5"/>
      <c r="SEL5"/>
      <c r="SEM5"/>
      <c r="SEN5"/>
      <c r="SEO5"/>
      <c r="SEP5"/>
      <c r="SEQ5"/>
      <c r="SER5"/>
      <c r="SES5"/>
      <c r="SET5"/>
      <c r="SEU5"/>
      <c r="SEV5"/>
      <c r="SEW5"/>
      <c r="SEX5"/>
      <c r="SEY5"/>
      <c r="SEZ5"/>
      <c r="SFA5"/>
      <c r="SFB5"/>
      <c r="SFC5"/>
      <c r="SFD5"/>
      <c r="SFE5"/>
      <c r="SFF5"/>
      <c r="SFG5"/>
      <c r="SFH5"/>
      <c r="SFI5"/>
      <c r="SFJ5"/>
      <c r="SFK5"/>
      <c r="SFL5"/>
      <c r="SFM5"/>
      <c r="SFN5"/>
      <c r="SFO5"/>
      <c r="SFP5"/>
      <c r="SFQ5"/>
      <c r="SFR5"/>
      <c r="SFS5"/>
      <c r="SFT5"/>
      <c r="SFU5"/>
      <c r="SFV5"/>
      <c r="SFW5"/>
      <c r="SFX5"/>
      <c r="SFY5"/>
      <c r="SFZ5"/>
      <c r="SGA5"/>
      <c r="SGB5"/>
      <c r="SGC5"/>
      <c r="SGD5"/>
      <c r="SGE5"/>
      <c r="SGF5"/>
      <c r="SGG5"/>
      <c r="SGH5"/>
      <c r="SGI5"/>
      <c r="SGJ5"/>
      <c r="SGK5"/>
      <c r="SGL5"/>
      <c r="SGM5"/>
      <c r="SGN5"/>
      <c r="SGO5"/>
      <c r="SGP5"/>
      <c r="SGQ5"/>
      <c r="SGR5"/>
      <c r="SGS5"/>
      <c r="SGT5"/>
      <c r="SGU5"/>
      <c r="SGV5"/>
      <c r="SGW5"/>
      <c r="SGX5"/>
      <c r="SGY5"/>
      <c r="SGZ5"/>
      <c r="SHA5"/>
      <c r="SHB5"/>
      <c r="SHC5"/>
      <c r="SHD5"/>
      <c r="SHE5"/>
      <c r="SHF5"/>
      <c r="SHG5"/>
      <c r="SHH5"/>
      <c r="SHI5"/>
      <c r="SHJ5"/>
      <c r="SHK5"/>
      <c r="SHL5"/>
      <c r="SHM5"/>
      <c r="SHN5"/>
      <c r="SHO5"/>
      <c r="SHP5"/>
      <c r="SHQ5"/>
      <c r="SHR5"/>
      <c r="SHS5"/>
      <c r="SHT5"/>
      <c r="SHU5"/>
      <c r="SHV5"/>
      <c r="SHW5"/>
      <c r="SHX5"/>
      <c r="SHY5"/>
      <c r="SHZ5"/>
      <c r="SIA5"/>
      <c r="SIB5"/>
      <c r="SIC5"/>
      <c r="SID5"/>
      <c r="SIE5"/>
      <c r="SIF5"/>
      <c r="SIG5"/>
      <c r="SIH5"/>
      <c r="SII5"/>
      <c r="SIJ5"/>
      <c r="SIK5"/>
      <c r="SIL5"/>
      <c r="SIM5"/>
      <c r="SIN5"/>
      <c r="SIO5"/>
      <c r="SIP5"/>
      <c r="SIQ5"/>
      <c r="SIR5"/>
      <c r="SIS5"/>
      <c r="SIT5"/>
      <c r="SIU5"/>
      <c r="SIV5"/>
      <c r="SIW5"/>
      <c r="SIX5"/>
      <c r="SIY5"/>
      <c r="SIZ5"/>
      <c r="SJA5"/>
      <c r="SJB5"/>
      <c r="SJC5"/>
      <c r="SJD5"/>
      <c r="SJE5"/>
      <c r="SJF5"/>
      <c r="SJG5"/>
      <c r="SJH5"/>
      <c r="SJI5"/>
      <c r="SJJ5"/>
      <c r="SJK5"/>
      <c r="SJL5"/>
      <c r="SJM5"/>
      <c r="SJN5"/>
      <c r="SJO5"/>
      <c r="SJP5"/>
      <c r="SJQ5"/>
      <c r="SJR5"/>
      <c r="SJS5"/>
      <c r="SJT5"/>
      <c r="SJU5"/>
      <c r="SJV5"/>
      <c r="SJW5"/>
      <c r="SJX5"/>
      <c r="SJY5"/>
      <c r="SJZ5"/>
      <c r="SKA5"/>
      <c r="SKB5"/>
      <c r="SKC5"/>
      <c r="SKD5"/>
      <c r="SKE5"/>
      <c r="SKF5"/>
      <c r="SKG5"/>
      <c r="SKH5"/>
      <c r="SKI5"/>
      <c r="SKJ5"/>
      <c r="SKK5"/>
      <c r="SKL5"/>
      <c r="SKM5"/>
      <c r="SKN5"/>
      <c r="SKO5"/>
      <c r="SKP5"/>
      <c r="SKQ5"/>
      <c r="SKR5"/>
      <c r="SKS5"/>
      <c r="SKT5"/>
      <c r="SKU5"/>
      <c r="SKV5"/>
      <c r="SKW5"/>
      <c r="SKX5"/>
      <c r="SKY5"/>
      <c r="SKZ5"/>
      <c r="SLA5"/>
      <c r="SLB5"/>
      <c r="SLC5"/>
      <c r="SLD5"/>
      <c r="SLE5"/>
      <c r="SLF5"/>
      <c r="SLG5"/>
      <c r="SLH5"/>
      <c r="SLI5"/>
      <c r="SLJ5"/>
      <c r="SLK5"/>
      <c r="SLL5"/>
      <c r="SLM5"/>
      <c r="SLN5"/>
      <c r="SLO5"/>
      <c r="SLP5"/>
      <c r="SLQ5"/>
      <c r="SLR5"/>
      <c r="SLS5"/>
      <c r="SLT5"/>
      <c r="SLU5"/>
      <c r="SLV5"/>
      <c r="SLW5"/>
      <c r="SLX5"/>
      <c r="SLY5"/>
      <c r="SLZ5"/>
      <c r="SMA5"/>
      <c r="SMB5"/>
      <c r="SMC5"/>
      <c r="SMD5"/>
      <c r="SME5"/>
      <c r="SMF5"/>
      <c r="SMG5"/>
      <c r="SMH5"/>
      <c r="SMI5"/>
      <c r="SMJ5"/>
      <c r="SMK5"/>
      <c r="SML5"/>
      <c r="SMM5"/>
      <c r="SMN5"/>
      <c r="SMO5"/>
      <c r="SMP5"/>
      <c r="SMQ5"/>
      <c r="SMR5"/>
      <c r="SMS5"/>
      <c r="SMT5"/>
      <c r="SMU5"/>
      <c r="SMV5"/>
      <c r="SMW5"/>
      <c r="SMX5"/>
      <c r="SMY5"/>
      <c r="SMZ5"/>
      <c r="SNA5"/>
      <c r="SNB5"/>
      <c r="SNC5"/>
      <c r="SND5"/>
      <c r="SNE5"/>
      <c r="SNF5"/>
      <c r="SNG5"/>
      <c r="SNH5"/>
      <c r="SNI5"/>
      <c r="SNJ5"/>
      <c r="SNK5"/>
      <c r="SNL5"/>
      <c r="SNM5"/>
      <c r="SNN5"/>
      <c r="SNO5"/>
      <c r="SNP5"/>
      <c r="SNQ5"/>
      <c r="SNR5"/>
      <c r="SNS5"/>
      <c r="SNT5"/>
      <c r="SNU5"/>
      <c r="SNV5"/>
      <c r="SNW5"/>
      <c r="SNX5"/>
      <c r="SNY5"/>
      <c r="SNZ5"/>
      <c r="SOA5"/>
      <c r="SOB5"/>
      <c r="SOC5"/>
      <c r="SOD5"/>
      <c r="SOE5"/>
      <c r="SOF5"/>
      <c r="SOG5"/>
      <c r="SOH5"/>
      <c r="SOI5"/>
      <c r="SOJ5"/>
      <c r="SOK5"/>
      <c r="SOL5"/>
      <c r="SOM5"/>
      <c r="SON5"/>
      <c r="SOO5"/>
      <c r="SOP5"/>
      <c r="SOQ5"/>
      <c r="SOR5"/>
      <c r="SOS5"/>
      <c r="SOT5"/>
      <c r="SOU5"/>
      <c r="SOV5"/>
      <c r="SOW5"/>
      <c r="SOX5"/>
      <c r="SOY5"/>
      <c r="SOZ5"/>
      <c r="SPA5"/>
      <c r="SPB5"/>
      <c r="SPC5"/>
      <c r="SPD5"/>
      <c r="SPE5"/>
      <c r="SPF5"/>
      <c r="SPG5"/>
      <c r="SPH5"/>
      <c r="SPI5"/>
      <c r="SPJ5"/>
      <c r="SPK5"/>
      <c r="SPL5"/>
      <c r="SPM5"/>
      <c r="SPN5"/>
      <c r="SPO5"/>
      <c r="SPP5"/>
      <c r="SPQ5"/>
      <c r="SPR5"/>
      <c r="SPS5"/>
      <c r="SPT5"/>
      <c r="SPU5"/>
      <c r="SPV5"/>
      <c r="SPW5"/>
      <c r="SPX5"/>
      <c r="SPY5"/>
      <c r="SPZ5"/>
      <c r="SQA5"/>
      <c r="SQB5"/>
      <c r="SQC5"/>
      <c r="SQD5"/>
      <c r="SQE5"/>
      <c r="SQF5"/>
      <c r="SQG5"/>
      <c r="SQH5"/>
      <c r="SQI5"/>
      <c r="SQJ5"/>
      <c r="SQK5"/>
      <c r="SQL5"/>
      <c r="SQM5"/>
      <c r="SQN5"/>
      <c r="SQO5"/>
      <c r="SQP5"/>
      <c r="SQQ5"/>
      <c r="SQR5"/>
      <c r="SQS5"/>
      <c r="SQT5"/>
      <c r="SQU5"/>
      <c r="SQV5"/>
      <c r="SQW5"/>
      <c r="SQX5"/>
      <c r="SQY5"/>
      <c r="SQZ5"/>
      <c r="SRA5"/>
      <c r="SRB5"/>
      <c r="SRC5"/>
      <c r="SRD5"/>
      <c r="SRE5"/>
      <c r="SRF5"/>
      <c r="SRG5"/>
      <c r="SRH5"/>
      <c r="SRI5"/>
      <c r="SRJ5"/>
      <c r="SRK5"/>
      <c r="SRL5"/>
      <c r="SRM5"/>
      <c r="SRN5"/>
      <c r="SRO5"/>
      <c r="SRP5"/>
      <c r="SRQ5"/>
      <c r="SRR5"/>
      <c r="SRS5"/>
      <c r="SRT5"/>
      <c r="SRU5"/>
      <c r="SRV5"/>
      <c r="SRW5"/>
      <c r="SRX5"/>
      <c r="SRY5"/>
      <c r="SRZ5"/>
      <c r="SSA5"/>
      <c r="SSB5"/>
      <c r="SSC5"/>
      <c r="SSD5"/>
      <c r="SSE5"/>
      <c r="SSF5"/>
      <c r="SSG5"/>
      <c r="SSH5"/>
      <c r="SSI5"/>
      <c r="SSJ5"/>
      <c r="SSK5"/>
      <c r="SSL5"/>
      <c r="SSM5"/>
      <c r="SSN5"/>
      <c r="SSO5"/>
      <c r="SSP5"/>
      <c r="SSQ5"/>
      <c r="SSR5"/>
      <c r="SSS5"/>
      <c r="SST5"/>
      <c r="SSU5"/>
      <c r="SSV5"/>
      <c r="SSW5"/>
      <c r="SSX5"/>
      <c r="SSY5"/>
      <c r="SSZ5"/>
      <c r="STA5"/>
      <c r="STB5"/>
      <c r="STC5"/>
      <c r="STD5"/>
      <c r="STE5"/>
      <c r="STF5"/>
      <c r="STG5"/>
      <c r="STH5"/>
      <c r="STI5"/>
      <c r="STJ5"/>
      <c r="STK5"/>
      <c r="STL5"/>
      <c r="STM5"/>
      <c r="STN5"/>
      <c r="STO5"/>
      <c r="STP5"/>
      <c r="STQ5"/>
      <c r="STR5"/>
      <c r="STS5"/>
      <c r="STT5"/>
      <c r="STU5"/>
      <c r="STV5"/>
      <c r="STW5"/>
      <c r="STX5"/>
      <c r="STY5"/>
      <c r="STZ5"/>
      <c r="SUA5"/>
      <c r="SUB5"/>
      <c r="SUC5"/>
      <c r="SUD5"/>
      <c r="SUE5"/>
      <c r="SUF5"/>
      <c r="SUG5"/>
      <c r="SUH5"/>
      <c r="SUI5"/>
      <c r="SUJ5"/>
      <c r="SUK5"/>
      <c r="SUL5"/>
      <c r="SUM5"/>
      <c r="SUN5"/>
      <c r="SUO5"/>
      <c r="SUP5"/>
      <c r="SUQ5"/>
      <c r="SUR5"/>
      <c r="SUS5"/>
      <c r="SUT5"/>
      <c r="SUU5"/>
      <c r="SUV5"/>
      <c r="SUW5"/>
      <c r="SUX5"/>
      <c r="SUY5"/>
      <c r="SUZ5"/>
      <c r="SVA5"/>
      <c r="SVB5"/>
      <c r="SVC5"/>
      <c r="SVD5"/>
      <c r="SVE5"/>
      <c r="SVF5"/>
      <c r="SVG5"/>
      <c r="SVH5"/>
      <c r="SVI5"/>
      <c r="SVJ5"/>
      <c r="SVK5"/>
      <c r="SVL5"/>
      <c r="SVM5"/>
      <c r="SVN5"/>
      <c r="SVO5"/>
      <c r="SVP5"/>
      <c r="SVQ5"/>
      <c r="SVR5"/>
      <c r="SVS5"/>
      <c r="SVT5"/>
      <c r="SVU5"/>
      <c r="SVV5"/>
      <c r="SVW5"/>
      <c r="SVX5"/>
      <c r="SVY5"/>
      <c r="SVZ5"/>
      <c r="SWA5"/>
      <c r="SWB5"/>
      <c r="SWC5"/>
      <c r="SWD5"/>
      <c r="SWE5"/>
      <c r="SWF5"/>
      <c r="SWG5"/>
      <c r="SWH5"/>
      <c r="SWI5"/>
      <c r="SWJ5"/>
      <c r="SWK5"/>
      <c r="SWL5"/>
      <c r="SWM5"/>
      <c r="SWN5"/>
      <c r="SWO5"/>
      <c r="SWP5"/>
      <c r="SWQ5"/>
      <c r="SWR5"/>
      <c r="SWS5"/>
      <c r="SWT5"/>
      <c r="SWU5"/>
      <c r="SWV5"/>
      <c r="SWW5"/>
      <c r="SWX5"/>
      <c r="SWY5"/>
      <c r="SWZ5"/>
      <c r="SXA5"/>
      <c r="SXB5"/>
      <c r="SXC5"/>
      <c r="SXD5"/>
      <c r="SXE5"/>
      <c r="SXF5"/>
      <c r="SXG5"/>
      <c r="SXH5"/>
      <c r="SXI5"/>
      <c r="SXJ5"/>
      <c r="SXK5"/>
      <c r="SXL5"/>
      <c r="SXM5"/>
      <c r="SXN5"/>
      <c r="SXO5"/>
      <c r="SXP5"/>
      <c r="SXQ5"/>
      <c r="SXR5"/>
      <c r="SXS5"/>
      <c r="SXT5"/>
      <c r="SXU5"/>
      <c r="SXV5"/>
      <c r="SXW5"/>
      <c r="SXX5"/>
      <c r="SXY5"/>
      <c r="SXZ5"/>
      <c r="SYA5"/>
      <c r="SYB5"/>
      <c r="SYC5"/>
      <c r="SYD5"/>
      <c r="SYE5"/>
      <c r="SYF5"/>
      <c r="SYG5"/>
      <c r="SYH5"/>
      <c r="SYI5"/>
      <c r="SYJ5"/>
      <c r="SYK5"/>
      <c r="SYL5"/>
      <c r="SYM5"/>
      <c r="SYN5"/>
      <c r="SYO5"/>
      <c r="SYP5"/>
      <c r="SYQ5"/>
      <c r="SYR5"/>
      <c r="SYS5"/>
      <c r="SYT5"/>
      <c r="SYU5"/>
      <c r="SYV5"/>
      <c r="SYW5"/>
      <c r="SYX5"/>
      <c r="SYY5"/>
      <c r="SYZ5"/>
      <c r="SZA5"/>
      <c r="SZB5"/>
      <c r="SZC5"/>
      <c r="SZD5"/>
      <c r="SZE5"/>
      <c r="SZF5"/>
      <c r="SZG5"/>
      <c r="SZH5"/>
      <c r="SZI5"/>
      <c r="SZJ5"/>
      <c r="SZK5"/>
      <c r="SZL5"/>
      <c r="SZM5"/>
      <c r="SZN5"/>
      <c r="SZO5"/>
      <c r="SZP5"/>
      <c r="SZQ5"/>
      <c r="SZR5"/>
      <c r="SZS5"/>
      <c r="SZT5"/>
      <c r="SZU5"/>
      <c r="SZV5"/>
      <c r="SZW5"/>
      <c r="SZX5"/>
      <c r="SZY5"/>
      <c r="SZZ5"/>
      <c r="TAA5"/>
      <c r="TAB5"/>
      <c r="TAC5"/>
      <c r="TAD5"/>
      <c r="TAE5"/>
      <c r="TAF5"/>
      <c r="TAG5"/>
      <c r="TAH5"/>
      <c r="TAI5"/>
      <c r="TAJ5"/>
      <c r="TAK5"/>
      <c r="TAL5"/>
      <c r="TAM5"/>
      <c r="TAN5"/>
      <c r="TAO5"/>
      <c r="TAP5"/>
      <c r="TAQ5"/>
      <c r="TAR5"/>
      <c r="TAS5"/>
      <c r="TAT5"/>
      <c r="TAU5"/>
      <c r="TAV5"/>
      <c r="TAW5"/>
      <c r="TAX5"/>
      <c r="TAY5"/>
      <c r="TAZ5"/>
      <c r="TBA5"/>
      <c r="TBB5"/>
      <c r="TBC5"/>
      <c r="TBD5"/>
      <c r="TBE5"/>
      <c r="TBF5"/>
      <c r="TBG5"/>
      <c r="TBH5"/>
      <c r="TBI5"/>
      <c r="TBJ5"/>
      <c r="TBK5"/>
      <c r="TBL5"/>
      <c r="TBM5"/>
      <c r="TBN5"/>
      <c r="TBO5"/>
      <c r="TBP5"/>
      <c r="TBQ5"/>
      <c r="TBR5"/>
      <c r="TBS5"/>
      <c r="TBT5"/>
      <c r="TBU5"/>
      <c r="TBV5"/>
      <c r="TBW5"/>
      <c r="TBX5"/>
      <c r="TBY5"/>
      <c r="TBZ5"/>
      <c r="TCA5"/>
      <c r="TCB5"/>
      <c r="TCC5"/>
      <c r="TCD5"/>
      <c r="TCE5"/>
      <c r="TCF5"/>
      <c r="TCG5"/>
      <c r="TCH5"/>
      <c r="TCI5"/>
      <c r="TCJ5"/>
      <c r="TCK5"/>
      <c r="TCL5"/>
      <c r="TCM5"/>
      <c r="TCN5"/>
      <c r="TCO5"/>
      <c r="TCP5"/>
      <c r="TCQ5"/>
      <c r="TCR5"/>
      <c r="TCS5"/>
      <c r="TCT5"/>
      <c r="TCU5"/>
      <c r="TCV5"/>
      <c r="TCW5"/>
      <c r="TCX5"/>
      <c r="TCY5"/>
      <c r="TCZ5"/>
      <c r="TDA5"/>
      <c r="TDB5"/>
      <c r="TDC5"/>
      <c r="TDD5"/>
      <c r="TDE5"/>
      <c r="TDF5"/>
      <c r="TDG5"/>
      <c r="TDH5"/>
      <c r="TDI5"/>
      <c r="TDJ5"/>
      <c r="TDK5"/>
      <c r="TDL5"/>
      <c r="TDM5"/>
      <c r="TDN5"/>
      <c r="TDO5"/>
      <c r="TDP5"/>
      <c r="TDQ5"/>
      <c r="TDR5"/>
      <c r="TDS5"/>
      <c r="TDT5"/>
      <c r="TDU5"/>
      <c r="TDV5"/>
      <c r="TDW5"/>
      <c r="TDX5"/>
      <c r="TDY5"/>
      <c r="TDZ5"/>
      <c r="TEA5"/>
      <c r="TEB5"/>
      <c r="TEC5"/>
      <c r="TED5"/>
      <c r="TEE5"/>
      <c r="TEF5"/>
      <c r="TEG5"/>
      <c r="TEH5"/>
      <c r="TEI5"/>
      <c r="TEJ5"/>
      <c r="TEK5"/>
      <c r="TEL5"/>
      <c r="TEM5"/>
      <c r="TEN5"/>
      <c r="TEO5"/>
      <c r="TEP5"/>
      <c r="TEQ5"/>
      <c r="TER5"/>
      <c r="TES5"/>
      <c r="TET5"/>
      <c r="TEU5"/>
      <c r="TEV5"/>
      <c r="TEW5"/>
      <c r="TEX5"/>
      <c r="TEY5"/>
      <c r="TEZ5"/>
      <c r="TFA5"/>
      <c r="TFB5"/>
      <c r="TFC5"/>
      <c r="TFD5"/>
      <c r="TFE5"/>
      <c r="TFF5"/>
      <c r="TFG5"/>
      <c r="TFH5"/>
      <c r="TFI5"/>
      <c r="TFJ5"/>
      <c r="TFK5"/>
      <c r="TFL5"/>
      <c r="TFM5"/>
      <c r="TFN5"/>
      <c r="TFO5"/>
      <c r="TFP5"/>
      <c r="TFQ5"/>
      <c r="TFR5"/>
      <c r="TFS5"/>
      <c r="TFT5"/>
      <c r="TFU5"/>
      <c r="TFV5"/>
      <c r="TFW5"/>
      <c r="TFX5"/>
      <c r="TFY5"/>
      <c r="TFZ5"/>
      <c r="TGA5"/>
      <c r="TGB5"/>
      <c r="TGC5"/>
      <c r="TGD5"/>
      <c r="TGE5"/>
      <c r="TGF5"/>
      <c r="TGG5"/>
      <c r="TGH5"/>
      <c r="TGI5"/>
      <c r="TGJ5"/>
      <c r="TGK5"/>
      <c r="TGL5"/>
      <c r="TGM5"/>
      <c r="TGN5"/>
      <c r="TGO5"/>
      <c r="TGP5"/>
      <c r="TGQ5"/>
      <c r="TGR5"/>
      <c r="TGS5"/>
      <c r="TGT5"/>
      <c r="TGU5"/>
      <c r="TGV5"/>
      <c r="TGW5"/>
      <c r="TGX5"/>
      <c r="TGY5"/>
      <c r="TGZ5"/>
      <c r="THA5"/>
      <c r="THB5"/>
      <c r="THC5"/>
      <c r="THD5"/>
      <c r="THE5"/>
      <c r="THF5"/>
      <c r="THG5"/>
      <c r="THH5"/>
      <c r="THI5"/>
      <c r="THJ5"/>
      <c r="THK5"/>
      <c r="THL5"/>
      <c r="THM5"/>
      <c r="THN5"/>
      <c r="THO5"/>
      <c r="THP5"/>
      <c r="THQ5"/>
      <c r="THR5"/>
      <c r="THS5"/>
      <c r="THT5"/>
      <c r="THU5"/>
      <c r="THV5"/>
      <c r="THW5"/>
      <c r="THX5"/>
      <c r="THY5"/>
      <c r="THZ5"/>
      <c r="TIA5"/>
      <c r="TIB5"/>
      <c r="TIC5"/>
      <c r="TID5"/>
      <c r="TIE5"/>
      <c r="TIF5"/>
      <c r="TIG5"/>
      <c r="TIH5"/>
      <c r="TII5"/>
      <c r="TIJ5"/>
      <c r="TIK5"/>
      <c r="TIL5"/>
      <c r="TIM5"/>
      <c r="TIN5"/>
      <c r="TIO5"/>
      <c r="TIP5"/>
      <c r="TIQ5"/>
      <c r="TIR5"/>
      <c r="TIS5"/>
      <c r="TIT5"/>
      <c r="TIU5"/>
      <c r="TIV5"/>
      <c r="TIW5"/>
      <c r="TIX5"/>
      <c r="TIY5"/>
      <c r="TIZ5"/>
      <c r="TJA5"/>
      <c r="TJB5"/>
      <c r="TJC5"/>
      <c r="TJD5"/>
      <c r="TJE5"/>
      <c r="TJF5"/>
      <c r="TJG5"/>
      <c r="TJH5"/>
      <c r="TJI5"/>
      <c r="TJJ5"/>
      <c r="TJK5"/>
      <c r="TJL5"/>
      <c r="TJM5"/>
      <c r="TJN5"/>
      <c r="TJO5"/>
      <c r="TJP5"/>
      <c r="TJQ5"/>
      <c r="TJR5"/>
      <c r="TJS5"/>
      <c r="TJT5"/>
      <c r="TJU5"/>
      <c r="TJV5"/>
      <c r="TJW5"/>
      <c r="TJX5"/>
      <c r="TJY5"/>
      <c r="TJZ5"/>
      <c r="TKA5"/>
      <c r="TKB5"/>
      <c r="TKC5"/>
      <c r="TKD5"/>
      <c r="TKE5"/>
      <c r="TKF5"/>
      <c r="TKG5"/>
      <c r="TKH5"/>
      <c r="TKI5"/>
      <c r="TKJ5"/>
      <c r="TKK5"/>
      <c r="TKL5"/>
      <c r="TKM5"/>
      <c r="TKN5"/>
      <c r="TKO5"/>
      <c r="TKP5"/>
      <c r="TKQ5"/>
      <c r="TKR5"/>
      <c r="TKS5"/>
      <c r="TKT5"/>
      <c r="TKU5"/>
      <c r="TKV5"/>
      <c r="TKW5"/>
      <c r="TKX5"/>
      <c r="TKY5"/>
      <c r="TKZ5"/>
      <c r="TLA5"/>
      <c r="TLB5"/>
      <c r="TLC5"/>
      <c r="TLD5"/>
      <c r="TLE5"/>
      <c r="TLF5"/>
      <c r="TLG5"/>
      <c r="TLH5"/>
      <c r="TLI5"/>
      <c r="TLJ5"/>
      <c r="TLK5"/>
      <c r="TLL5"/>
      <c r="TLM5"/>
      <c r="TLN5"/>
      <c r="TLO5"/>
      <c r="TLP5"/>
      <c r="TLQ5"/>
      <c r="TLR5"/>
      <c r="TLS5"/>
      <c r="TLT5"/>
      <c r="TLU5"/>
      <c r="TLV5"/>
      <c r="TLW5"/>
      <c r="TLX5"/>
      <c r="TLY5"/>
      <c r="TLZ5"/>
      <c r="TMA5"/>
      <c r="TMB5"/>
      <c r="TMC5"/>
      <c r="TMD5"/>
      <c r="TME5"/>
      <c r="TMF5"/>
      <c r="TMG5"/>
      <c r="TMH5"/>
      <c r="TMI5"/>
      <c r="TMJ5"/>
      <c r="TMK5"/>
      <c r="TML5"/>
      <c r="TMM5"/>
      <c r="TMN5"/>
      <c r="TMO5"/>
      <c r="TMP5"/>
      <c r="TMQ5"/>
      <c r="TMR5"/>
      <c r="TMS5"/>
      <c r="TMT5"/>
      <c r="TMU5"/>
      <c r="TMV5"/>
      <c r="TMW5"/>
      <c r="TMX5"/>
      <c r="TMY5"/>
      <c r="TMZ5"/>
      <c r="TNA5"/>
      <c r="TNB5"/>
      <c r="TNC5"/>
      <c r="TND5"/>
      <c r="TNE5"/>
      <c r="TNF5"/>
      <c r="TNG5"/>
      <c r="TNH5"/>
      <c r="TNI5"/>
      <c r="TNJ5"/>
      <c r="TNK5"/>
      <c r="TNL5"/>
      <c r="TNM5"/>
      <c r="TNN5"/>
      <c r="TNO5"/>
      <c r="TNP5"/>
      <c r="TNQ5"/>
      <c r="TNR5"/>
      <c r="TNS5"/>
      <c r="TNT5"/>
      <c r="TNU5"/>
      <c r="TNV5"/>
      <c r="TNW5"/>
      <c r="TNX5"/>
      <c r="TNY5"/>
      <c r="TNZ5"/>
      <c r="TOA5"/>
      <c r="TOB5"/>
      <c r="TOC5"/>
      <c r="TOD5"/>
      <c r="TOE5"/>
      <c r="TOF5"/>
      <c r="TOG5"/>
      <c r="TOH5"/>
      <c r="TOI5"/>
      <c r="TOJ5"/>
      <c r="TOK5"/>
      <c r="TOL5"/>
      <c r="TOM5"/>
      <c r="TON5"/>
      <c r="TOO5"/>
      <c r="TOP5"/>
      <c r="TOQ5"/>
      <c r="TOR5"/>
      <c r="TOS5"/>
      <c r="TOT5"/>
      <c r="TOU5"/>
      <c r="TOV5"/>
      <c r="TOW5"/>
      <c r="TOX5"/>
      <c r="TOY5"/>
      <c r="TOZ5"/>
      <c r="TPA5"/>
      <c r="TPB5"/>
      <c r="TPC5"/>
      <c r="TPD5"/>
      <c r="TPE5"/>
      <c r="TPF5"/>
      <c r="TPG5"/>
      <c r="TPH5"/>
      <c r="TPI5"/>
      <c r="TPJ5"/>
      <c r="TPK5"/>
      <c r="TPL5"/>
      <c r="TPM5"/>
      <c r="TPN5"/>
      <c r="TPO5"/>
      <c r="TPP5"/>
      <c r="TPQ5"/>
      <c r="TPR5"/>
      <c r="TPS5"/>
      <c r="TPT5"/>
      <c r="TPU5"/>
      <c r="TPV5"/>
      <c r="TPW5"/>
      <c r="TPX5"/>
      <c r="TPY5"/>
      <c r="TPZ5"/>
      <c r="TQA5"/>
      <c r="TQB5"/>
      <c r="TQC5"/>
      <c r="TQD5"/>
      <c r="TQE5"/>
      <c r="TQF5"/>
      <c r="TQG5"/>
      <c r="TQH5"/>
      <c r="TQI5"/>
      <c r="TQJ5"/>
      <c r="TQK5"/>
      <c r="TQL5"/>
      <c r="TQM5"/>
      <c r="TQN5"/>
      <c r="TQO5"/>
      <c r="TQP5"/>
      <c r="TQQ5"/>
      <c r="TQR5"/>
      <c r="TQS5"/>
      <c r="TQT5"/>
      <c r="TQU5"/>
      <c r="TQV5"/>
      <c r="TQW5"/>
      <c r="TQX5"/>
      <c r="TQY5"/>
      <c r="TQZ5"/>
      <c r="TRA5"/>
      <c r="TRB5"/>
      <c r="TRC5"/>
      <c r="TRD5"/>
      <c r="TRE5"/>
      <c r="TRF5"/>
      <c r="TRG5"/>
      <c r="TRH5"/>
      <c r="TRI5"/>
      <c r="TRJ5"/>
      <c r="TRK5"/>
      <c r="TRL5"/>
      <c r="TRM5"/>
      <c r="TRN5"/>
      <c r="TRO5"/>
      <c r="TRP5"/>
      <c r="TRQ5"/>
      <c r="TRR5"/>
      <c r="TRS5"/>
      <c r="TRT5"/>
      <c r="TRU5"/>
      <c r="TRV5"/>
      <c r="TRW5"/>
      <c r="TRX5"/>
      <c r="TRY5"/>
      <c r="TRZ5"/>
      <c r="TSA5"/>
      <c r="TSB5"/>
      <c r="TSC5"/>
      <c r="TSD5"/>
      <c r="TSE5"/>
      <c r="TSF5"/>
      <c r="TSG5"/>
      <c r="TSH5"/>
      <c r="TSI5"/>
      <c r="TSJ5"/>
      <c r="TSK5"/>
      <c r="TSL5"/>
      <c r="TSM5"/>
      <c r="TSN5"/>
      <c r="TSO5"/>
      <c r="TSP5"/>
      <c r="TSQ5"/>
      <c r="TSR5"/>
      <c r="TSS5"/>
      <c r="TST5"/>
      <c r="TSU5"/>
      <c r="TSV5"/>
      <c r="TSW5"/>
      <c r="TSX5"/>
      <c r="TSY5"/>
      <c r="TSZ5"/>
      <c r="TTA5"/>
      <c r="TTB5"/>
      <c r="TTC5"/>
      <c r="TTD5"/>
      <c r="TTE5"/>
      <c r="TTF5"/>
      <c r="TTG5"/>
      <c r="TTH5"/>
      <c r="TTI5"/>
      <c r="TTJ5"/>
      <c r="TTK5"/>
      <c r="TTL5"/>
      <c r="TTM5"/>
      <c r="TTN5"/>
      <c r="TTO5"/>
      <c r="TTP5"/>
      <c r="TTQ5"/>
      <c r="TTR5"/>
      <c r="TTS5"/>
      <c r="TTT5"/>
      <c r="TTU5"/>
      <c r="TTV5"/>
      <c r="TTW5"/>
      <c r="TTX5"/>
      <c r="TTY5"/>
      <c r="TTZ5"/>
      <c r="TUA5"/>
      <c r="TUB5"/>
      <c r="TUC5"/>
      <c r="TUD5"/>
      <c r="TUE5"/>
      <c r="TUF5"/>
      <c r="TUG5"/>
      <c r="TUH5"/>
      <c r="TUI5"/>
      <c r="TUJ5"/>
      <c r="TUK5"/>
      <c r="TUL5"/>
      <c r="TUM5"/>
      <c r="TUN5"/>
      <c r="TUO5"/>
      <c r="TUP5"/>
      <c r="TUQ5"/>
      <c r="TUR5"/>
      <c r="TUS5"/>
      <c r="TUT5"/>
      <c r="TUU5"/>
      <c r="TUV5"/>
      <c r="TUW5"/>
      <c r="TUX5"/>
      <c r="TUY5"/>
      <c r="TUZ5"/>
      <c r="TVA5"/>
      <c r="TVB5"/>
      <c r="TVC5"/>
      <c r="TVD5"/>
      <c r="TVE5"/>
      <c r="TVF5"/>
      <c r="TVG5"/>
      <c r="TVH5"/>
      <c r="TVI5"/>
      <c r="TVJ5"/>
      <c r="TVK5"/>
      <c r="TVL5"/>
      <c r="TVM5"/>
      <c r="TVN5"/>
      <c r="TVO5"/>
      <c r="TVP5"/>
      <c r="TVQ5"/>
      <c r="TVR5"/>
      <c r="TVS5"/>
      <c r="TVT5"/>
      <c r="TVU5"/>
      <c r="TVV5"/>
      <c r="TVW5"/>
      <c r="TVX5"/>
      <c r="TVY5"/>
      <c r="TVZ5"/>
      <c r="TWA5"/>
      <c r="TWB5"/>
      <c r="TWC5"/>
      <c r="TWD5"/>
      <c r="TWE5"/>
      <c r="TWF5"/>
      <c r="TWG5"/>
      <c r="TWH5"/>
      <c r="TWI5"/>
      <c r="TWJ5"/>
      <c r="TWK5"/>
      <c r="TWL5"/>
      <c r="TWM5"/>
      <c r="TWN5"/>
      <c r="TWO5"/>
      <c r="TWP5"/>
      <c r="TWQ5"/>
      <c r="TWR5"/>
      <c r="TWS5"/>
      <c r="TWT5"/>
      <c r="TWU5"/>
      <c r="TWV5"/>
      <c r="TWW5"/>
      <c r="TWX5"/>
      <c r="TWY5"/>
      <c r="TWZ5"/>
      <c r="TXA5"/>
      <c r="TXB5"/>
      <c r="TXC5"/>
      <c r="TXD5"/>
      <c r="TXE5"/>
      <c r="TXF5"/>
      <c r="TXG5"/>
      <c r="TXH5"/>
      <c r="TXI5"/>
      <c r="TXJ5"/>
      <c r="TXK5"/>
      <c r="TXL5"/>
      <c r="TXM5"/>
      <c r="TXN5"/>
      <c r="TXO5"/>
      <c r="TXP5"/>
      <c r="TXQ5"/>
      <c r="TXR5"/>
      <c r="TXS5"/>
      <c r="TXT5"/>
      <c r="TXU5"/>
      <c r="TXV5"/>
      <c r="TXW5"/>
      <c r="TXX5"/>
      <c r="TXY5"/>
      <c r="TXZ5"/>
      <c r="TYA5"/>
      <c r="TYB5"/>
      <c r="TYC5"/>
      <c r="TYD5"/>
      <c r="TYE5"/>
      <c r="TYF5"/>
      <c r="TYG5"/>
      <c r="TYH5"/>
      <c r="TYI5"/>
      <c r="TYJ5"/>
      <c r="TYK5"/>
      <c r="TYL5"/>
      <c r="TYM5"/>
      <c r="TYN5"/>
      <c r="TYO5"/>
      <c r="TYP5"/>
      <c r="TYQ5"/>
      <c r="TYR5"/>
      <c r="TYS5"/>
      <c r="TYT5"/>
      <c r="TYU5"/>
      <c r="TYV5"/>
      <c r="TYW5"/>
      <c r="TYX5"/>
      <c r="TYY5"/>
      <c r="TYZ5"/>
      <c r="TZA5"/>
      <c r="TZB5"/>
      <c r="TZC5"/>
      <c r="TZD5"/>
      <c r="TZE5"/>
      <c r="TZF5"/>
      <c r="TZG5"/>
      <c r="TZH5"/>
      <c r="TZI5"/>
      <c r="TZJ5"/>
      <c r="TZK5"/>
      <c r="TZL5"/>
      <c r="TZM5"/>
      <c r="TZN5"/>
      <c r="TZO5"/>
      <c r="TZP5"/>
      <c r="TZQ5"/>
      <c r="TZR5"/>
      <c r="TZS5"/>
      <c r="TZT5"/>
      <c r="TZU5"/>
      <c r="TZV5"/>
      <c r="TZW5"/>
      <c r="TZX5"/>
      <c r="TZY5"/>
      <c r="TZZ5"/>
      <c r="UAA5"/>
      <c r="UAB5"/>
      <c r="UAC5"/>
      <c r="UAD5"/>
      <c r="UAE5"/>
      <c r="UAF5"/>
      <c r="UAG5"/>
      <c r="UAH5"/>
      <c r="UAI5"/>
      <c r="UAJ5"/>
      <c r="UAK5"/>
      <c r="UAL5"/>
      <c r="UAM5"/>
      <c r="UAN5"/>
      <c r="UAO5"/>
      <c r="UAP5"/>
      <c r="UAQ5"/>
      <c r="UAR5"/>
      <c r="UAS5"/>
      <c r="UAT5"/>
      <c r="UAU5"/>
      <c r="UAV5"/>
      <c r="UAW5"/>
      <c r="UAX5"/>
      <c r="UAY5"/>
      <c r="UAZ5"/>
      <c r="UBA5"/>
      <c r="UBB5"/>
      <c r="UBC5"/>
      <c r="UBD5"/>
      <c r="UBE5"/>
      <c r="UBF5"/>
      <c r="UBG5"/>
      <c r="UBH5"/>
      <c r="UBI5"/>
      <c r="UBJ5"/>
      <c r="UBK5"/>
      <c r="UBL5"/>
      <c r="UBM5"/>
      <c r="UBN5"/>
      <c r="UBO5"/>
      <c r="UBP5"/>
      <c r="UBQ5"/>
      <c r="UBR5"/>
      <c r="UBS5"/>
      <c r="UBT5"/>
      <c r="UBU5"/>
      <c r="UBV5"/>
      <c r="UBW5"/>
      <c r="UBX5"/>
      <c r="UBY5"/>
      <c r="UBZ5"/>
      <c r="UCA5"/>
      <c r="UCB5"/>
      <c r="UCC5"/>
      <c r="UCD5"/>
      <c r="UCE5"/>
      <c r="UCF5"/>
      <c r="UCG5"/>
      <c r="UCH5"/>
      <c r="UCI5"/>
      <c r="UCJ5"/>
      <c r="UCK5"/>
      <c r="UCL5"/>
      <c r="UCM5"/>
      <c r="UCN5"/>
      <c r="UCO5"/>
      <c r="UCP5"/>
      <c r="UCQ5"/>
      <c r="UCR5"/>
      <c r="UCS5"/>
      <c r="UCT5"/>
      <c r="UCU5"/>
      <c r="UCV5"/>
      <c r="UCW5"/>
      <c r="UCX5"/>
      <c r="UCY5"/>
      <c r="UCZ5"/>
      <c r="UDA5"/>
      <c r="UDB5"/>
      <c r="UDC5"/>
      <c r="UDD5"/>
      <c r="UDE5"/>
      <c r="UDF5"/>
      <c r="UDG5"/>
      <c r="UDH5"/>
      <c r="UDI5"/>
      <c r="UDJ5"/>
      <c r="UDK5"/>
      <c r="UDL5"/>
      <c r="UDM5"/>
      <c r="UDN5"/>
      <c r="UDO5"/>
      <c r="UDP5"/>
      <c r="UDQ5"/>
      <c r="UDR5"/>
      <c r="UDS5"/>
      <c r="UDT5"/>
      <c r="UDU5"/>
      <c r="UDV5"/>
      <c r="UDW5"/>
      <c r="UDX5"/>
      <c r="UDY5"/>
      <c r="UDZ5"/>
      <c r="UEA5"/>
      <c r="UEB5"/>
      <c r="UEC5"/>
      <c r="UED5"/>
      <c r="UEE5"/>
      <c r="UEF5"/>
      <c r="UEG5"/>
      <c r="UEH5"/>
      <c r="UEI5"/>
      <c r="UEJ5"/>
      <c r="UEK5"/>
      <c r="UEL5"/>
      <c r="UEM5"/>
      <c r="UEN5"/>
      <c r="UEO5"/>
      <c r="UEP5"/>
      <c r="UEQ5"/>
      <c r="UER5"/>
      <c r="UES5"/>
      <c r="UET5"/>
      <c r="UEU5"/>
      <c r="UEV5"/>
      <c r="UEW5"/>
      <c r="UEX5"/>
      <c r="UEY5"/>
      <c r="UEZ5"/>
      <c r="UFA5"/>
      <c r="UFB5"/>
      <c r="UFC5"/>
      <c r="UFD5"/>
      <c r="UFE5"/>
      <c r="UFF5"/>
      <c r="UFG5"/>
      <c r="UFH5"/>
      <c r="UFI5"/>
      <c r="UFJ5"/>
      <c r="UFK5"/>
      <c r="UFL5"/>
      <c r="UFM5"/>
      <c r="UFN5"/>
      <c r="UFO5"/>
      <c r="UFP5"/>
      <c r="UFQ5"/>
      <c r="UFR5"/>
      <c r="UFS5"/>
      <c r="UFT5"/>
      <c r="UFU5"/>
      <c r="UFV5"/>
      <c r="UFW5"/>
      <c r="UFX5"/>
      <c r="UFY5"/>
      <c r="UFZ5"/>
      <c r="UGA5"/>
      <c r="UGB5"/>
      <c r="UGC5"/>
      <c r="UGD5"/>
      <c r="UGE5"/>
      <c r="UGF5"/>
      <c r="UGG5"/>
      <c r="UGH5"/>
      <c r="UGI5"/>
      <c r="UGJ5"/>
      <c r="UGK5"/>
      <c r="UGL5"/>
      <c r="UGM5"/>
      <c r="UGN5"/>
      <c r="UGO5"/>
      <c r="UGP5"/>
      <c r="UGQ5"/>
      <c r="UGR5"/>
      <c r="UGS5"/>
      <c r="UGT5"/>
      <c r="UGU5"/>
      <c r="UGV5"/>
      <c r="UGW5"/>
      <c r="UGX5"/>
      <c r="UGY5"/>
      <c r="UGZ5"/>
      <c r="UHA5"/>
      <c r="UHB5"/>
      <c r="UHC5"/>
      <c r="UHD5"/>
      <c r="UHE5"/>
      <c r="UHF5"/>
      <c r="UHG5"/>
      <c r="UHH5"/>
      <c r="UHI5"/>
      <c r="UHJ5"/>
      <c r="UHK5"/>
      <c r="UHL5"/>
      <c r="UHM5"/>
      <c r="UHN5"/>
      <c r="UHO5"/>
      <c r="UHP5"/>
      <c r="UHQ5"/>
      <c r="UHR5"/>
      <c r="UHS5"/>
      <c r="UHT5"/>
      <c r="UHU5"/>
      <c r="UHV5"/>
      <c r="UHW5"/>
      <c r="UHX5"/>
      <c r="UHY5"/>
      <c r="UHZ5"/>
      <c r="UIA5"/>
      <c r="UIB5"/>
      <c r="UIC5"/>
      <c r="UID5"/>
      <c r="UIE5"/>
      <c r="UIF5"/>
      <c r="UIG5"/>
      <c r="UIH5"/>
      <c r="UII5"/>
      <c r="UIJ5"/>
      <c r="UIK5"/>
      <c r="UIL5"/>
      <c r="UIM5"/>
      <c r="UIN5"/>
      <c r="UIO5"/>
      <c r="UIP5"/>
      <c r="UIQ5"/>
      <c r="UIR5"/>
      <c r="UIS5"/>
      <c r="UIT5"/>
      <c r="UIU5"/>
      <c r="UIV5"/>
      <c r="UIW5"/>
      <c r="UIX5"/>
      <c r="UIY5"/>
      <c r="UIZ5"/>
      <c r="UJA5"/>
      <c r="UJB5"/>
      <c r="UJC5"/>
      <c r="UJD5"/>
      <c r="UJE5"/>
      <c r="UJF5"/>
      <c r="UJG5"/>
      <c r="UJH5"/>
      <c r="UJI5"/>
      <c r="UJJ5"/>
      <c r="UJK5"/>
      <c r="UJL5"/>
      <c r="UJM5"/>
      <c r="UJN5"/>
      <c r="UJO5"/>
      <c r="UJP5"/>
      <c r="UJQ5"/>
      <c r="UJR5"/>
      <c r="UJS5"/>
      <c r="UJT5"/>
      <c r="UJU5"/>
      <c r="UJV5"/>
      <c r="UJW5"/>
      <c r="UJX5"/>
      <c r="UJY5"/>
      <c r="UJZ5"/>
      <c r="UKA5"/>
      <c r="UKB5"/>
      <c r="UKC5"/>
      <c r="UKD5"/>
      <c r="UKE5"/>
      <c r="UKF5"/>
      <c r="UKG5"/>
      <c r="UKH5"/>
      <c r="UKI5"/>
      <c r="UKJ5"/>
      <c r="UKK5"/>
      <c r="UKL5"/>
      <c r="UKM5"/>
      <c r="UKN5"/>
      <c r="UKO5"/>
      <c r="UKP5"/>
      <c r="UKQ5"/>
      <c r="UKR5"/>
      <c r="UKS5"/>
      <c r="UKT5"/>
      <c r="UKU5"/>
      <c r="UKV5"/>
      <c r="UKW5"/>
      <c r="UKX5"/>
      <c r="UKY5"/>
      <c r="UKZ5"/>
      <c r="ULA5"/>
      <c r="ULB5"/>
      <c r="ULC5"/>
      <c r="ULD5"/>
      <c r="ULE5"/>
      <c r="ULF5"/>
      <c r="ULG5"/>
      <c r="ULH5"/>
      <c r="ULI5"/>
      <c r="ULJ5"/>
      <c r="ULK5"/>
      <c r="ULL5"/>
      <c r="ULM5"/>
      <c r="ULN5"/>
      <c r="ULO5"/>
      <c r="ULP5"/>
      <c r="ULQ5"/>
      <c r="ULR5"/>
      <c r="ULS5"/>
      <c r="ULT5"/>
      <c r="ULU5"/>
      <c r="ULV5"/>
      <c r="ULW5"/>
      <c r="ULX5"/>
      <c r="ULY5"/>
      <c r="ULZ5"/>
      <c r="UMA5"/>
      <c r="UMB5"/>
      <c r="UMC5"/>
      <c r="UMD5"/>
      <c r="UME5"/>
      <c r="UMF5"/>
      <c r="UMG5"/>
      <c r="UMH5"/>
      <c r="UMI5"/>
      <c r="UMJ5"/>
      <c r="UMK5"/>
      <c r="UML5"/>
      <c r="UMM5"/>
      <c r="UMN5"/>
      <c r="UMO5"/>
      <c r="UMP5"/>
      <c r="UMQ5"/>
      <c r="UMR5"/>
      <c r="UMS5"/>
      <c r="UMT5"/>
      <c r="UMU5"/>
      <c r="UMV5"/>
      <c r="UMW5"/>
      <c r="UMX5"/>
      <c r="UMY5"/>
      <c r="UMZ5"/>
      <c r="UNA5"/>
      <c r="UNB5"/>
      <c r="UNC5"/>
      <c r="UND5"/>
      <c r="UNE5"/>
      <c r="UNF5"/>
      <c r="UNG5"/>
      <c r="UNH5"/>
      <c r="UNI5"/>
      <c r="UNJ5"/>
      <c r="UNK5"/>
      <c r="UNL5"/>
      <c r="UNM5"/>
      <c r="UNN5"/>
      <c r="UNO5"/>
      <c r="UNP5"/>
      <c r="UNQ5"/>
      <c r="UNR5"/>
      <c r="UNS5"/>
      <c r="UNT5"/>
      <c r="UNU5"/>
      <c r="UNV5"/>
      <c r="UNW5"/>
      <c r="UNX5"/>
      <c r="UNY5"/>
      <c r="UNZ5"/>
      <c r="UOA5"/>
      <c r="UOB5"/>
      <c r="UOC5"/>
      <c r="UOD5"/>
      <c r="UOE5"/>
      <c r="UOF5"/>
      <c r="UOG5"/>
      <c r="UOH5"/>
      <c r="UOI5"/>
      <c r="UOJ5"/>
      <c r="UOK5"/>
      <c r="UOL5"/>
      <c r="UOM5"/>
      <c r="UON5"/>
      <c r="UOO5"/>
      <c r="UOP5"/>
      <c r="UOQ5"/>
      <c r="UOR5"/>
      <c r="UOS5"/>
      <c r="UOT5"/>
      <c r="UOU5"/>
      <c r="UOV5"/>
      <c r="UOW5"/>
      <c r="UOX5"/>
      <c r="UOY5"/>
      <c r="UOZ5"/>
      <c r="UPA5"/>
      <c r="UPB5"/>
      <c r="UPC5"/>
      <c r="UPD5"/>
      <c r="UPE5"/>
      <c r="UPF5"/>
      <c r="UPG5"/>
      <c r="UPH5"/>
      <c r="UPI5"/>
      <c r="UPJ5"/>
      <c r="UPK5"/>
      <c r="UPL5"/>
      <c r="UPM5"/>
      <c r="UPN5"/>
      <c r="UPO5"/>
      <c r="UPP5"/>
      <c r="UPQ5"/>
      <c r="UPR5"/>
      <c r="UPS5"/>
      <c r="UPT5"/>
      <c r="UPU5"/>
      <c r="UPV5"/>
      <c r="UPW5"/>
      <c r="UPX5"/>
      <c r="UPY5"/>
      <c r="UPZ5"/>
      <c r="UQA5"/>
      <c r="UQB5"/>
      <c r="UQC5"/>
      <c r="UQD5"/>
      <c r="UQE5"/>
      <c r="UQF5"/>
      <c r="UQG5"/>
      <c r="UQH5"/>
      <c r="UQI5"/>
      <c r="UQJ5"/>
      <c r="UQK5"/>
      <c r="UQL5"/>
      <c r="UQM5"/>
      <c r="UQN5"/>
      <c r="UQO5"/>
      <c r="UQP5"/>
      <c r="UQQ5"/>
      <c r="UQR5"/>
      <c r="UQS5"/>
      <c r="UQT5"/>
      <c r="UQU5"/>
      <c r="UQV5"/>
      <c r="UQW5"/>
      <c r="UQX5"/>
      <c r="UQY5"/>
      <c r="UQZ5"/>
      <c r="URA5"/>
      <c r="URB5"/>
      <c r="URC5"/>
      <c r="URD5"/>
      <c r="URE5"/>
      <c r="URF5"/>
      <c r="URG5"/>
      <c r="URH5"/>
      <c r="URI5"/>
      <c r="URJ5"/>
      <c r="URK5"/>
      <c r="URL5"/>
      <c r="URM5"/>
      <c r="URN5"/>
      <c r="URO5"/>
      <c r="URP5"/>
      <c r="URQ5"/>
      <c r="URR5"/>
      <c r="URS5"/>
      <c r="URT5"/>
      <c r="URU5"/>
      <c r="URV5"/>
      <c r="URW5"/>
      <c r="URX5"/>
      <c r="URY5"/>
      <c r="URZ5"/>
      <c r="USA5"/>
      <c r="USB5"/>
      <c r="USC5"/>
      <c r="USD5"/>
      <c r="USE5"/>
      <c r="USF5"/>
      <c r="USG5"/>
      <c r="USH5"/>
      <c r="USI5"/>
      <c r="USJ5"/>
      <c r="USK5"/>
      <c r="USL5"/>
      <c r="USM5"/>
      <c r="USN5"/>
      <c r="USO5"/>
      <c r="USP5"/>
      <c r="USQ5"/>
      <c r="USR5"/>
      <c r="USS5"/>
      <c r="UST5"/>
      <c r="USU5"/>
      <c r="USV5"/>
      <c r="USW5"/>
      <c r="USX5"/>
      <c r="USY5"/>
      <c r="USZ5"/>
      <c r="UTA5"/>
      <c r="UTB5"/>
      <c r="UTC5"/>
      <c r="UTD5"/>
      <c r="UTE5"/>
      <c r="UTF5"/>
      <c r="UTG5"/>
      <c r="UTH5"/>
      <c r="UTI5"/>
      <c r="UTJ5"/>
      <c r="UTK5"/>
      <c r="UTL5"/>
      <c r="UTM5"/>
      <c r="UTN5"/>
      <c r="UTO5"/>
      <c r="UTP5"/>
      <c r="UTQ5"/>
      <c r="UTR5"/>
      <c r="UTS5"/>
      <c r="UTT5"/>
      <c r="UTU5"/>
      <c r="UTV5"/>
      <c r="UTW5"/>
      <c r="UTX5"/>
      <c r="UTY5"/>
      <c r="UTZ5"/>
      <c r="UUA5"/>
      <c r="UUB5"/>
      <c r="UUC5"/>
      <c r="UUD5"/>
      <c r="UUE5"/>
      <c r="UUF5"/>
      <c r="UUG5"/>
      <c r="UUH5"/>
      <c r="UUI5"/>
      <c r="UUJ5"/>
      <c r="UUK5"/>
      <c r="UUL5"/>
      <c r="UUM5"/>
      <c r="UUN5"/>
      <c r="UUO5"/>
      <c r="UUP5"/>
      <c r="UUQ5"/>
      <c r="UUR5"/>
      <c r="UUS5"/>
      <c r="UUT5"/>
      <c r="UUU5"/>
      <c r="UUV5"/>
      <c r="UUW5"/>
      <c r="UUX5"/>
      <c r="UUY5"/>
      <c r="UUZ5"/>
      <c r="UVA5"/>
      <c r="UVB5"/>
      <c r="UVC5"/>
      <c r="UVD5"/>
      <c r="UVE5"/>
      <c r="UVF5"/>
      <c r="UVG5"/>
      <c r="UVH5"/>
      <c r="UVI5"/>
      <c r="UVJ5"/>
      <c r="UVK5"/>
      <c r="UVL5"/>
      <c r="UVM5"/>
      <c r="UVN5"/>
      <c r="UVO5"/>
      <c r="UVP5"/>
      <c r="UVQ5"/>
      <c r="UVR5"/>
      <c r="UVS5"/>
      <c r="UVT5"/>
      <c r="UVU5"/>
      <c r="UVV5"/>
      <c r="UVW5"/>
      <c r="UVX5"/>
      <c r="UVY5"/>
      <c r="UVZ5"/>
      <c r="UWA5"/>
      <c r="UWB5"/>
      <c r="UWC5"/>
      <c r="UWD5"/>
      <c r="UWE5"/>
      <c r="UWF5"/>
      <c r="UWG5"/>
      <c r="UWH5"/>
      <c r="UWI5"/>
      <c r="UWJ5"/>
      <c r="UWK5"/>
      <c r="UWL5"/>
      <c r="UWM5"/>
      <c r="UWN5"/>
      <c r="UWO5"/>
      <c r="UWP5"/>
      <c r="UWQ5"/>
      <c r="UWR5"/>
      <c r="UWS5"/>
      <c r="UWT5"/>
      <c r="UWU5"/>
      <c r="UWV5"/>
      <c r="UWW5"/>
      <c r="UWX5"/>
      <c r="UWY5"/>
      <c r="UWZ5"/>
      <c r="UXA5"/>
      <c r="UXB5"/>
      <c r="UXC5"/>
      <c r="UXD5"/>
      <c r="UXE5"/>
      <c r="UXF5"/>
      <c r="UXG5"/>
      <c r="UXH5"/>
      <c r="UXI5"/>
      <c r="UXJ5"/>
      <c r="UXK5"/>
      <c r="UXL5"/>
      <c r="UXM5"/>
      <c r="UXN5"/>
      <c r="UXO5"/>
      <c r="UXP5"/>
      <c r="UXQ5"/>
      <c r="UXR5"/>
      <c r="UXS5"/>
      <c r="UXT5"/>
      <c r="UXU5"/>
      <c r="UXV5"/>
      <c r="UXW5"/>
      <c r="UXX5"/>
      <c r="UXY5"/>
      <c r="UXZ5"/>
      <c r="UYA5"/>
      <c r="UYB5"/>
      <c r="UYC5"/>
      <c r="UYD5"/>
      <c r="UYE5"/>
      <c r="UYF5"/>
      <c r="UYG5"/>
      <c r="UYH5"/>
      <c r="UYI5"/>
      <c r="UYJ5"/>
      <c r="UYK5"/>
      <c r="UYL5"/>
      <c r="UYM5"/>
      <c r="UYN5"/>
      <c r="UYO5"/>
      <c r="UYP5"/>
      <c r="UYQ5"/>
      <c r="UYR5"/>
      <c r="UYS5"/>
      <c r="UYT5"/>
      <c r="UYU5"/>
      <c r="UYV5"/>
      <c r="UYW5"/>
      <c r="UYX5"/>
      <c r="UYY5"/>
      <c r="UYZ5"/>
      <c r="UZA5"/>
      <c r="UZB5"/>
      <c r="UZC5"/>
      <c r="UZD5"/>
      <c r="UZE5"/>
      <c r="UZF5"/>
      <c r="UZG5"/>
      <c r="UZH5"/>
      <c r="UZI5"/>
      <c r="UZJ5"/>
      <c r="UZK5"/>
      <c r="UZL5"/>
      <c r="UZM5"/>
      <c r="UZN5"/>
      <c r="UZO5"/>
      <c r="UZP5"/>
      <c r="UZQ5"/>
      <c r="UZR5"/>
      <c r="UZS5"/>
      <c r="UZT5"/>
      <c r="UZU5"/>
      <c r="UZV5"/>
      <c r="UZW5"/>
      <c r="UZX5"/>
      <c r="UZY5"/>
      <c r="UZZ5"/>
      <c r="VAA5"/>
      <c r="VAB5"/>
      <c r="VAC5"/>
      <c r="VAD5"/>
      <c r="VAE5"/>
      <c r="VAF5"/>
      <c r="VAG5"/>
      <c r="VAH5"/>
      <c r="VAI5"/>
      <c r="VAJ5"/>
      <c r="VAK5"/>
      <c r="VAL5"/>
      <c r="VAM5"/>
      <c r="VAN5"/>
      <c r="VAO5"/>
      <c r="VAP5"/>
      <c r="VAQ5"/>
      <c r="VAR5"/>
      <c r="VAS5"/>
      <c r="VAT5"/>
      <c r="VAU5"/>
      <c r="VAV5"/>
      <c r="VAW5"/>
      <c r="VAX5"/>
      <c r="VAY5"/>
      <c r="VAZ5"/>
      <c r="VBA5"/>
      <c r="VBB5"/>
      <c r="VBC5"/>
      <c r="VBD5"/>
      <c r="VBE5"/>
      <c r="VBF5"/>
      <c r="VBG5"/>
      <c r="VBH5"/>
      <c r="VBI5"/>
      <c r="VBJ5"/>
      <c r="VBK5"/>
      <c r="VBL5"/>
      <c r="VBM5"/>
      <c r="VBN5"/>
      <c r="VBO5"/>
      <c r="VBP5"/>
      <c r="VBQ5"/>
      <c r="VBR5"/>
      <c r="VBS5"/>
      <c r="VBT5"/>
      <c r="VBU5"/>
      <c r="VBV5"/>
      <c r="VBW5"/>
      <c r="VBX5"/>
      <c r="VBY5"/>
      <c r="VBZ5"/>
      <c r="VCA5"/>
      <c r="VCB5"/>
      <c r="VCC5"/>
      <c r="VCD5"/>
      <c r="VCE5"/>
      <c r="VCF5"/>
      <c r="VCG5"/>
      <c r="VCH5"/>
      <c r="VCI5"/>
      <c r="VCJ5"/>
      <c r="VCK5"/>
      <c r="VCL5"/>
      <c r="VCM5"/>
      <c r="VCN5"/>
      <c r="VCO5"/>
      <c r="VCP5"/>
      <c r="VCQ5"/>
      <c r="VCR5"/>
      <c r="VCS5"/>
      <c r="VCT5"/>
      <c r="VCU5"/>
      <c r="VCV5"/>
      <c r="VCW5"/>
      <c r="VCX5"/>
      <c r="VCY5"/>
      <c r="VCZ5"/>
      <c r="VDA5"/>
      <c r="VDB5"/>
      <c r="VDC5"/>
      <c r="VDD5"/>
      <c r="VDE5"/>
      <c r="VDF5"/>
      <c r="VDG5"/>
      <c r="VDH5"/>
      <c r="VDI5"/>
      <c r="VDJ5"/>
      <c r="VDK5"/>
      <c r="VDL5"/>
      <c r="VDM5"/>
      <c r="VDN5"/>
      <c r="VDO5"/>
      <c r="VDP5"/>
      <c r="VDQ5"/>
      <c r="VDR5"/>
      <c r="VDS5"/>
      <c r="VDT5"/>
      <c r="VDU5"/>
      <c r="VDV5"/>
      <c r="VDW5"/>
      <c r="VDX5"/>
      <c r="VDY5"/>
      <c r="VDZ5"/>
      <c r="VEA5"/>
      <c r="VEB5"/>
      <c r="VEC5"/>
      <c r="VED5"/>
      <c r="VEE5"/>
      <c r="VEF5"/>
      <c r="VEG5"/>
      <c r="VEH5"/>
      <c r="VEI5"/>
      <c r="VEJ5"/>
      <c r="VEK5"/>
      <c r="VEL5"/>
      <c r="VEM5"/>
      <c r="VEN5"/>
      <c r="VEO5"/>
      <c r="VEP5"/>
      <c r="VEQ5"/>
      <c r="VER5"/>
      <c r="VES5"/>
      <c r="VET5"/>
      <c r="VEU5"/>
      <c r="VEV5"/>
      <c r="VEW5"/>
      <c r="VEX5"/>
      <c r="VEY5"/>
      <c r="VEZ5"/>
      <c r="VFA5"/>
      <c r="VFB5"/>
      <c r="VFC5"/>
      <c r="VFD5"/>
      <c r="VFE5"/>
      <c r="VFF5"/>
      <c r="VFG5"/>
      <c r="VFH5"/>
      <c r="VFI5"/>
      <c r="VFJ5"/>
      <c r="VFK5"/>
      <c r="VFL5"/>
      <c r="VFM5"/>
      <c r="VFN5"/>
      <c r="VFO5"/>
      <c r="VFP5"/>
      <c r="VFQ5"/>
      <c r="VFR5"/>
      <c r="VFS5"/>
      <c r="VFT5"/>
      <c r="VFU5"/>
      <c r="VFV5"/>
      <c r="VFW5"/>
      <c r="VFX5"/>
      <c r="VFY5"/>
      <c r="VFZ5"/>
      <c r="VGA5"/>
      <c r="VGB5"/>
      <c r="VGC5"/>
      <c r="VGD5"/>
      <c r="VGE5"/>
      <c r="VGF5"/>
      <c r="VGG5"/>
      <c r="VGH5"/>
      <c r="VGI5"/>
      <c r="VGJ5"/>
      <c r="VGK5"/>
      <c r="VGL5"/>
      <c r="VGM5"/>
      <c r="VGN5"/>
      <c r="VGO5"/>
      <c r="VGP5"/>
      <c r="VGQ5"/>
      <c r="VGR5"/>
      <c r="VGS5"/>
      <c r="VGT5"/>
      <c r="VGU5"/>
      <c r="VGV5"/>
      <c r="VGW5"/>
      <c r="VGX5"/>
      <c r="VGY5"/>
      <c r="VGZ5"/>
      <c r="VHA5"/>
      <c r="VHB5"/>
      <c r="VHC5"/>
      <c r="VHD5"/>
      <c r="VHE5"/>
      <c r="VHF5"/>
      <c r="VHG5"/>
      <c r="VHH5"/>
      <c r="VHI5"/>
      <c r="VHJ5"/>
      <c r="VHK5"/>
      <c r="VHL5"/>
      <c r="VHM5"/>
      <c r="VHN5"/>
      <c r="VHO5"/>
      <c r="VHP5"/>
      <c r="VHQ5"/>
      <c r="VHR5"/>
      <c r="VHS5"/>
      <c r="VHT5"/>
      <c r="VHU5"/>
      <c r="VHV5"/>
      <c r="VHW5"/>
      <c r="VHX5"/>
      <c r="VHY5"/>
      <c r="VHZ5"/>
      <c r="VIA5"/>
      <c r="VIB5"/>
      <c r="VIC5"/>
      <c r="VID5"/>
      <c r="VIE5"/>
      <c r="VIF5"/>
      <c r="VIG5"/>
      <c r="VIH5"/>
      <c r="VII5"/>
      <c r="VIJ5"/>
      <c r="VIK5"/>
      <c r="VIL5"/>
      <c r="VIM5"/>
      <c r="VIN5"/>
      <c r="VIO5"/>
      <c r="VIP5"/>
      <c r="VIQ5"/>
      <c r="VIR5"/>
      <c r="VIS5"/>
      <c r="VIT5"/>
      <c r="VIU5"/>
      <c r="VIV5"/>
      <c r="VIW5"/>
      <c r="VIX5"/>
      <c r="VIY5"/>
      <c r="VIZ5"/>
      <c r="VJA5"/>
      <c r="VJB5"/>
      <c r="VJC5"/>
      <c r="VJD5"/>
      <c r="VJE5"/>
      <c r="VJF5"/>
      <c r="VJG5"/>
      <c r="VJH5"/>
      <c r="VJI5"/>
      <c r="VJJ5"/>
      <c r="VJK5"/>
      <c r="VJL5"/>
      <c r="VJM5"/>
      <c r="VJN5"/>
      <c r="VJO5"/>
      <c r="VJP5"/>
      <c r="VJQ5"/>
      <c r="VJR5"/>
      <c r="VJS5"/>
      <c r="VJT5"/>
      <c r="VJU5"/>
      <c r="VJV5"/>
      <c r="VJW5"/>
      <c r="VJX5"/>
      <c r="VJY5"/>
      <c r="VJZ5"/>
      <c r="VKA5"/>
      <c r="VKB5"/>
      <c r="VKC5"/>
      <c r="VKD5"/>
      <c r="VKE5"/>
      <c r="VKF5"/>
      <c r="VKG5"/>
      <c r="VKH5"/>
      <c r="VKI5"/>
      <c r="VKJ5"/>
      <c r="VKK5"/>
      <c r="VKL5"/>
      <c r="VKM5"/>
      <c r="VKN5"/>
      <c r="VKO5"/>
      <c r="VKP5"/>
      <c r="VKQ5"/>
      <c r="VKR5"/>
      <c r="VKS5"/>
      <c r="VKT5"/>
      <c r="VKU5"/>
      <c r="VKV5"/>
      <c r="VKW5"/>
      <c r="VKX5"/>
      <c r="VKY5"/>
      <c r="VKZ5"/>
      <c r="VLA5"/>
      <c r="VLB5"/>
      <c r="VLC5"/>
      <c r="VLD5"/>
      <c r="VLE5"/>
      <c r="VLF5"/>
      <c r="VLG5"/>
      <c r="VLH5"/>
      <c r="VLI5"/>
      <c r="VLJ5"/>
      <c r="VLK5"/>
      <c r="VLL5"/>
      <c r="VLM5"/>
      <c r="VLN5"/>
      <c r="VLO5"/>
      <c r="VLP5"/>
      <c r="VLQ5"/>
      <c r="VLR5"/>
      <c r="VLS5"/>
      <c r="VLT5"/>
      <c r="VLU5"/>
      <c r="VLV5"/>
      <c r="VLW5"/>
      <c r="VLX5"/>
      <c r="VLY5"/>
      <c r="VLZ5"/>
      <c r="VMA5"/>
      <c r="VMB5"/>
      <c r="VMC5"/>
      <c r="VMD5"/>
      <c r="VME5"/>
      <c r="VMF5"/>
      <c r="VMG5"/>
      <c r="VMH5"/>
      <c r="VMI5"/>
      <c r="VMJ5"/>
      <c r="VMK5"/>
      <c r="VML5"/>
      <c r="VMM5"/>
      <c r="VMN5"/>
      <c r="VMO5"/>
      <c r="VMP5"/>
      <c r="VMQ5"/>
      <c r="VMR5"/>
      <c r="VMS5"/>
      <c r="VMT5"/>
      <c r="VMU5"/>
      <c r="VMV5"/>
      <c r="VMW5"/>
      <c r="VMX5"/>
      <c r="VMY5"/>
      <c r="VMZ5"/>
      <c r="VNA5"/>
      <c r="VNB5"/>
      <c r="VNC5"/>
      <c r="VND5"/>
      <c r="VNE5"/>
      <c r="VNF5"/>
      <c r="VNG5"/>
      <c r="VNH5"/>
      <c r="VNI5"/>
      <c r="VNJ5"/>
      <c r="VNK5"/>
      <c r="VNL5"/>
      <c r="VNM5"/>
      <c r="VNN5"/>
      <c r="VNO5"/>
      <c r="VNP5"/>
      <c r="VNQ5"/>
      <c r="VNR5"/>
      <c r="VNS5"/>
      <c r="VNT5"/>
      <c r="VNU5"/>
      <c r="VNV5"/>
      <c r="VNW5"/>
      <c r="VNX5"/>
      <c r="VNY5"/>
      <c r="VNZ5"/>
      <c r="VOA5"/>
      <c r="VOB5"/>
      <c r="VOC5"/>
      <c r="VOD5"/>
      <c r="VOE5"/>
      <c r="VOF5"/>
      <c r="VOG5"/>
      <c r="VOH5"/>
      <c r="VOI5"/>
      <c r="VOJ5"/>
      <c r="VOK5"/>
      <c r="VOL5"/>
      <c r="VOM5"/>
      <c r="VON5"/>
      <c r="VOO5"/>
      <c r="VOP5"/>
      <c r="VOQ5"/>
      <c r="VOR5"/>
      <c r="VOS5"/>
      <c r="VOT5"/>
      <c r="VOU5"/>
      <c r="VOV5"/>
      <c r="VOW5"/>
      <c r="VOX5"/>
      <c r="VOY5"/>
      <c r="VOZ5"/>
      <c r="VPA5"/>
      <c r="VPB5"/>
      <c r="VPC5"/>
      <c r="VPD5"/>
      <c r="VPE5"/>
      <c r="VPF5"/>
      <c r="VPG5"/>
      <c r="VPH5"/>
      <c r="VPI5"/>
      <c r="VPJ5"/>
      <c r="VPK5"/>
      <c r="VPL5"/>
      <c r="VPM5"/>
      <c r="VPN5"/>
      <c r="VPO5"/>
      <c r="VPP5"/>
      <c r="VPQ5"/>
      <c r="VPR5"/>
      <c r="VPS5"/>
      <c r="VPT5"/>
      <c r="VPU5"/>
      <c r="VPV5"/>
      <c r="VPW5"/>
      <c r="VPX5"/>
      <c r="VPY5"/>
      <c r="VPZ5"/>
      <c r="VQA5"/>
      <c r="VQB5"/>
      <c r="VQC5"/>
      <c r="VQD5"/>
      <c r="VQE5"/>
      <c r="VQF5"/>
      <c r="VQG5"/>
      <c r="VQH5"/>
      <c r="VQI5"/>
      <c r="VQJ5"/>
      <c r="VQK5"/>
      <c r="VQL5"/>
      <c r="VQM5"/>
      <c r="VQN5"/>
      <c r="VQO5"/>
      <c r="VQP5"/>
      <c r="VQQ5"/>
      <c r="VQR5"/>
      <c r="VQS5"/>
      <c r="VQT5"/>
      <c r="VQU5"/>
      <c r="VQV5"/>
      <c r="VQW5"/>
      <c r="VQX5"/>
      <c r="VQY5"/>
      <c r="VQZ5"/>
      <c r="VRA5"/>
      <c r="VRB5"/>
      <c r="VRC5"/>
      <c r="VRD5"/>
      <c r="VRE5"/>
      <c r="VRF5"/>
      <c r="VRG5"/>
      <c r="VRH5"/>
      <c r="VRI5"/>
      <c r="VRJ5"/>
      <c r="VRK5"/>
      <c r="VRL5"/>
      <c r="VRM5"/>
      <c r="VRN5"/>
      <c r="VRO5"/>
      <c r="VRP5"/>
      <c r="VRQ5"/>
      <c r="VRR5"/>
      <c r="VRS5"/>
      <c r="VRT5"/>
      <c r="VRU5"/>
      <c r="VRV5"/>
      <c r="VRW5"/>
      <c r="VRX5"/>
      <c r="VRY5"/>
      <c r="VRZ5"/>
      <c r="VSA5"/>
      <c r="VSB5"/>
      <c r="VSC5"/>
      <c r="VSD5"/>
      <c r="VSE5"/>
      <c r="VSF5"/>
      <c r="VSG5"/>
      <c r="VSH5"/>
      <c r="VSI5"/>
      <c r="VSJ5"/>
      <c r="VSK5"/>
      <c r="VSL5"/>
      <c r="VSM5"/>
      <c r="VSN5"/>
      <c r="VSO5"/>
      <c r="VSP5"/>
      <c r="VSQ5"/>
      <c r="VSR5"/>
      <c r="VSS5"/>
      <c r="VST5"/>
      <c r="VSU5"/>
      <c r="VSV5"/>
      <c r="VSW5"/>
      <c r="VSX5"/>
      <c r="VSY5"/>
      <c r="VSZ5"/>
      <c r="VTA5"/>
      <c r="VTB5"/>
      <c r="VTC5"/>
      <c r="VTD5"/>
      <c r="VTE5"/>
      <c r="VTF5"/>
      <c r="VTG5"/>
      <c r="VTH5"/>
      <c r="VTI5"/>
      <c r="VTJ5"/>
      <c r="VTK5"/>
      <c r="VTL5"/>
      <c r="VTM5"/>
      <c r="VTN5"/>
      <c r="VTO5"/>
      <c r="VTP5"/>
      <c r="VTQ5"/>
      <c r="VTR5"/>
      <c r="VTS5"/>
      <c r="VTT5"/>
      <c r="VTU5"/>
      <c r="VTV5"/>
      <c r="VTW5"/>
      <c r="VTX5"/>
      <c r="VTY5"/>
      <c r="VTZ5"/>
      <c r="VUA5"/>
      <c r="VUB5"/>
      <c r="VUC5"/>
      <c r="VUD5"/>
      <c r="VUE5"/>
      <c r="VUF5"/>
      <c r="VUG5"/>
      <c r="VUH5"/>
      <c r="VUI5"/>
      <c r="VUJ5"/>
      <c r="VUK5"/>
      <c r="VUL5"/>
      <c r="VUM5"/>
      <c r="VUN5"/>
      <c r="VUO5"/>
      <c r="VUP5"/>
      <c r="VUQ5"/>
      <c r="VUR5"/>
      <c r="VUS5"/>
      <c r="VUT5"/>
      <c r="VUU5"/>
      <c r="VUV5"/>
      <c r="VUW5"/>
      <c r="VUX5"/>
      <c r="VUY5"/>
      <c r="VUZ5"/>
      <c r="VVA5"/>
      <c r="VVB5"/>
      <c r="VVC5"/>
      <c r="VVD5"/>
      <c r="VVE5"/>
      <c r="VVF5"/>
      <c r="VVG5"/>
      <c r="VVH5"/>
      <c r="VVI5"/>
      <c r="VVJ5"/>
      <c r="VVK5"/>
      <c r="VVL5"/>
      <c r="VVM5"/>
      <c r="VVN5"/>
      <c r="VVO5"/>
      <c r="VVP5"/>
      <c r="VVQ5"/>
      <c r="VVR5"/>
      <c r="VVS5"/>
      <c r="VVT5"/>
      <c r="VVU5"/>
      <c r="VVV5"/>
      <c r="VVW5"/>
      <c r="VVX5"/>
      <c r="VVY5"/>
      <c r="VVZ5"/>
      <c r="VWA5"/>
      <c r="VWB5"/>
      <c r="VWC5"/>
      <c r="VWD5"/>
      <c r="VWE5"/>
      <c r="VWF5"/>
      <c r="VWG5"/>
      <c r="VWH5"/>
      <c r="VWI5"/>
      <c r="VWJ5"/>
      <c r="VWK5"/>
      <c r="VWL5"/>
      <c r="VWM5"/>
      <c r="VWN5"/>
      <c r="VWO5"/>
      <c r="VWP5"/>
      <c r="VWQ5"/>
      <c r="VWR5"/>
      <c r="VWS5"/>
      <c r="VWT5"/>
      <c r="VWU5"/>
      <c r="VWV5"/>
      <c r="VWW5"/>
      <c r="VWX5"/>
      <c r="VWY5"/>
      <c r="VWZ5"/>
      <c r="VXA5"/>
      <c r="VXB5"/>
      <c r="VXC5"/>
      <c r="VXD5"/>
      <c r="VXE5"/>
      <c r="VXF5"/>
      <c r="VXG5"/>
      <c r="VXH5"/>
      <c r="VXI5"/>
      <c r="VXJ5"/>
      <c r="VXK5"/>
      <c r="VXL5"/>
      <c r="VXM5"/>
      <c r="VXN5"/>
      <c r="VXO5"/>
      <c r="VXP5"/>
      <c r="VXQ5"/>
      <c r="VXR5"/>
      <c r="VXS5"/>
      <c r="VXT5"/>
      <c r="VXU5"/>
      <c r="VXV5"/>
      <c r="VXW5"/>
      <c r="VXX5"/>
      <c r="VXY5"/>
      <c r="VXZ5"/>
      <c r="VYA5"/>
      <c r="VYB5"/>
      <c r="VYC5"/>
      <c r="VYD5"/>
      <c r="VYE5"/>
      <c r="VYF5"/>
      <c r="VYG5"/>
      <c r="VYH5"/>
      <c r="VYI5"/>
      <c r="VYJ5"/>
      <c r="VYK5"/>
      <c r="VYL5"/>
      <c r="VYM5"/>
      <c r="VYN5"/>
      <c r="VYO5"/>
      <c r="VYP5"/>
      <c r="VYQ5"/>
      <c r="VYR5"/>
      <c r="VYS5"/>
      <c r="VYT5"/>
      <c r="VYU5"/>
      <c r="VYV5"/>
      <c r="VYW5"/>
      <c r="VYX5"/>
      <c r="VYY5"/>
      <c r="VYZ5"/>
      <c r="VZA5"/>
      <c r="VZB5"/>
      <c r="VZC5"/>
      <c r="VZD5"/>
      <c r="VZE5"/>
      <c r="VZF5"/>
      <c r="VZG5"/>
      <c r="VZH5"/>
      <c r="VZI5"/>
      <c r="VZJ5"/>
      <c r="VZK5"/>
      <c r="VZL5"/>
      <c r="VZM5"/>
      <c r="VZN5"/>
      <c r="VZO5"/>
      <c r="VZP5"/>
      <c r="VZQ5"/>
      <c r="VZR5"/>
      <c r="VZS5"/>
      <c r="VZT5"/>
      <c r="VZU5"/>
      <c r="VZV5"/>
      <c r="VZW5"/>
      <c r="VZX5"/>
      <c r="VZY5"/>
      <c r="VZZ5"/>
      <c r="WAA5"/>
      <c r="WAB5"/>
      <c r="WAC5"/>
      <c r="WAD5"/>
      <c r="WAE5"/>
      <c r="WAF5"/>
      <c r="WAG5"/>
      <c r="WAH5"/>
      <c r="WAI5"/>
      <c r="WAJ5"/>
      <c r="WAK5"/>
      <c r="WAL5"/>
      <c r="WAM5"/>
      <c r="WAN5"/>
      <c r="WAO5"/>
      <c r="WAP5"/>
      <c r="WAQ5"/>
      <c r="WAR5"/>
      <c r="WAS5"/>
      <c r="WAT5"/>
      <c r="WAU5"/>
      <c r="WAV5"/>
      <c r="WAW5"/>
      <c r="WAX5"/>
      <c r="WAY5"/>
      <c r="WAZ5"/>
      <c r="WBA5"/>
      <c r="WBB5"/>
      <c r="WBC5"/>
      <c r="WBD5"/>
      <c r="WBE5"/>
      <c r="WBF5"/>
      <c r="WBG5"/>
      <c r="WBH5"/>
      <c r="WBI5"/>
      <c r="WBJ5"/>
      <c r="WBK5"/>
      <c r="WBL5"/>
      <c r="WBM5"/>
      <c r="WBN5"/>
      <c r="WBO5"/>
      <c r="WBP5"/>
      <c r="WBQ5"/>
      <c r="WBR5"/>
      <c r="WBS5"/>
      <c r="WBT5"/>
      <c r="WBU5"/>
      <c r="WBV5"/>
      <c r="WBW5"/>
      <c r="WBX5"/>
      <c r="WBY5"/>
      <c r="WBZ5"/>
      <c r="WCA5"/>
      <c r="WCB5"/>
      <c r="WCC5"/>
      <c r="WCD5"/>
      <c r="WCE5"/>
      <c r="WCF5"/>
      <c r="WCG5"/>
      <c r="WCH5"/>
      <c r="WCI5"/>
      <c r="WCJ5"/>
      <c r="WCK5"/>
      <c r="WCL5"/>
      <c r="WCM5"/>
      <c r="WCN5"/>
      <c r="WCO5"/>
      <c r="WCP5"/>
      <c r="WCQ5"/>
      <c r="WCR5"/>
      <c r="WCS5"/>
      <c r="WCT5"/>
      <c r="WCU5"/>
      <c r="WCV5"/>
      <c r="WCW5"/>
      <c r="WCX5"/>
      <c r="WCY5"/>
      <c r="WCZ5"/>
      <c r="WDA5"/>
      <c r="WDB5"/>
      <c r="WDC5"/>
      <c r="WDD5"/>
      <c r="WDE5"/>
      <c r="WDF5"/>
      <c r="WDG5"/>
      <c r="WDH5"/>
      <c r="WDI5"/>
      <c r="WDJ5"/>
      <c r="WDK5"/>
      <c r="WDL5"/>
      <c r="WDM5"/>
      <c r="WDN5"/>
      <c r="WDO5"/>
      <c r="WDP5"/>
      <c r="WDQ5"/>
      <c r="WDR5"/>
      <c r="WDS5"/>
      <c r="WDT5"/>
      <c r="WDU5"/>
      <c r="WDV5"/>
      <c r="WDW5"/>
      <c r="WDX5"/>
      <c r="WDY5"/>
      <c r="WDZ5"/>
      <c r="WEA5"/>
      <c r="WEB5"/>
      <c r="WEC5"/>
      <c r="WED5"/>
      <c r="WEE5"/>
      <c r="WEF5"/>
      <c r="WEG5"/>
      <c r="WEH5"/>
      <c r="WEI5"/>
      <c r="WEJ5"/>
      <c r="WEK5"/>
      <c r="WEL5"/>
      <c r="WEM5"/>
      <c r="WEN5"/>
      <c r="WEO5"/>
      <c r="WEP5"/>
      <c r="WEQ5"/>
      <c r="WER5"/>
      <c r="WES5"/>
      <c r="WET5"/>
      <c r="WEU5"/>
      <c r="WEV5"/>
      <c r="WEW5"/>
      <c r="WEX5"/>
      <c r="WEY5"/>
      <c r="WEZ5"/>
      <c r="WFA5"/>
      <c r="WFB5"/>
      <c r="WFC5"/>
      <c r="WFD5"/>
      <c r="WFE5"/>
      <c r="WFF5"/>
      <c r="WFG5"/>
      <c r="WFH5"/>
      <c r="WFI5"/>
      <c r="WFJ5"/>
      <c r="WFK5"/>
      <c r="WFL5"/>
      <c r="WFM5"/>
      <c r="WFN5"/>
      <c r="WFO5"/>
      <c r="WFP5"/>
      <c r="WFQ5"/>
      <c r="WFR5"/>
      <c r="WFS5"/>
      <c r="WFT5"/>
      <c r="WFU5"/>
      <c r="WFV5"/>
      <c r="WFW5"/>
      <c r="WFX5"/>
      <c r="WFY5"/>
      <c r="WFZ5"/>
      <c r="WGA5"/>
      <c r="WGB5"/>
      <c r="WGC5"/>
      <c r="WGD5"/>
      <c r="WGE5"/>
      <c r="WGF5"/>
      <c r="WGG5"/>
      <c r="WGH5"/>
      <c r="WGI5"/>
      <c r="WGJ5"/>
      <c r="WGK5"/>
      <c r="WGL5"/>
      <c r="WGM5"/>
      <c r="WGN5"/>
      <c r="WGO5"/>
      <c r="WGP5"/>
      <c r="WGQ5"/>
      <c r="WGR5"/>
      <c r="WGS5"/>
      <c r="WGT5"/>
      <c r="WGU5"/>
      <c r="WGV5"/>
      <c r="WGW5"/>
      <c r="WGX5"/>
      <c r="WGY5"/>
      <c r="WGZ5"/>
      <c r="WHA5"/>
      <c r="WHB5"/>
      <c r="WHC5"/>
      <c r="WHD5"/>
      <c r="WHE5"/>
      <c r="WHF5"/>
      <c r="WHG5"/>
      <c r="WHH5"/>
      <c r="WHI5"/>
      <c r="WHJ5"/>
      <c r="WHK5"/>
      <c r="WHL5"/>
      <c r="WHM5"/>
      <c r="WHN5"/>
      <c r="WHO5"/>
      <c r="WHP5"/>
      <c r="WHQ5"/>
      <c r="WHR5"/>
      <c r="WHS5"/>
      <c r="WHT5"/>
      <c r="WHU5"/>
      <c r="WHV5"/>
      <c r="WHW5"/>
      <c r="WHX5"/>
      <c r="WHY5"/>
      <c r="WHZ5"/>
      <c r="WIA5"/>
      <c r="WIB5"/>
      <c r="WIC5"/>
      <c r="WID5"/>
      <c r="WIE5"/>
      <c r="WIF5"/>
      <c r="WIG5"/>
      <c r="WIH5"/>
      <c r="WII5"/>
      <c r="WIJ5"/>
      <c r="WIK5"/>
      <c r="WIL5"/>
      <c r="WIM5"/>
      <c r="WIN5"/>
      <c r="WIO5"/>
      <c r="WIP5"/>
      <c r="WIQ5"/>
      <c r="WIR5"/>
      <c r="WIS5"/>
      <c r="WIT5"/>
      <c r="WIU5"/>
      <c r="WIV5"/>
      <c r="WIW5"/>
      <c r="WIX5"/>
      <c r="WIY5"/>
      <c r="WIZ5"/>
      <c r="WJA5"/>
      <c r="WJB5"/>
      <c r="WJC5"/>
      <c r="WJD5"/>
      <c r="WJE5"/>
      <c r="WJF5"/>
      <c r="WJG5"/>
      <c r="WJH5"/>
      <c r="WJI5"/>
      <c r="WJJ5"/>
      <c r="WJK5"/>
      <c r="WJL5"/>
      <c r="WJM5"/>
      <c r="WJN5"/>
      <c r="WJO5"/>
      <c r="WJP5"/>
      <c r="WJQ5"/>
      <c r="WJR5"/>
      <c r="WJS5"/>
      <c r="WJT5"/>
      <c r="WJU5"/>
      <c r="WJV5"/>
      <c r="WJW5"/>
      <c r="WJX5"/>
      <c r="WJY5"/>
      <c r="WJZ5"/>
      <c r="WKA5"/>
      <c r="WKB5"/>
      <c r="WKC5"/>
      <c r="WKD5"/>
      <c r="WKE5"/>
      <c r="WKF5"/>
      <c r="WKG5"/>
      <c r="WKH5"/>
      <c r="WKI5"/>
      <c r="WKJ5"/>
      <c r="WKK5"/>
      <c r="WKL5"/>
      <c r="WKM5"/>
      <c r="WKN5"/>
      <c r="WKO5"/>
      <c r="WKP5"/>
      <c r="WKQ5"/>
      <c r="WKR5"/>
      <c r="WKS5"/>
      <c r="WKT5"/>
      <c r="WKU5"/>
      <c r="WKV5"/>
      <c r="WKW5"/>
      <c r="WKX5"/>
      <c r="WKY5"/>
      <c r="WKZ5"/>
      <c r="WLA5"/>
      <c r="WLB5"/>
      <c r="WLC5"/>
      <c r="WLD5"/>
      <c r="WLE5"/>
      <c r="WLF5"/>
      <c r="WLG5"/>
      <c r="WLH5"/>
      <c r="WLI5"/>
      <c r="WLJ5"/>
      <c r="WLK5"/>
      <c r="WLL5"/>
      <c r="WLM5"/>
      <c r="WLN5"/>
      <c r="WLO5"/>
      <c r="WLP5"/>
      <c r="WLQ5"/>
      <c r="WLR5"/>
      <c r="WLS5"/>
      <c r="WLT5"/>
      <c r="WLU5"/>
      <c r="WLV5"/>
      <c r="WLW5"/>
      <c r="WLX5"/>
      <c r="WLY5"/>
      <c r="WLZ5"/>
      <c r="WMA5"/>
      <c r="WMB5"/>
      <c r="WMC5"/>
      <c r="WMD5"/>
      <c r="WME5"/>
      <c r="WMF5"/>
      <c r="WMG5"/>
      <c r="WMH5"/>
      <c r="WMI5"/>
      <c r="WMJ5"/>
      <c r="WMK5"/>
      <c r="WML5"/>
      <c r="WMM5"/>
      <c r="WMN5"/>
      <c r="WMO5"/>
      <c r="WMP5"/>
      <c r="WMQ5"/>
      <c r="WMR5"/>
      <c r="WMS5"/>
      <c r="WMT5"/>
      <c r="WMU5"/>
      <c r="WMV5"/>
      <c r="WMW5"/>
      <c r="WMX5"/>
      <c r="WMY5"/>
      <c r="WMZ5"/>
      <c r="WNA5"/>
      <c r="WNB5"/>
      <c r="WNC5"/>
      <c r="WND5"/>
      <c r="WNE5"/>
      <c r="WNF5"/>
      <c r="WNG5"/>
      <c r="WNH5"/>
      <c r="WNI5"/>
      <c r="WNJ5"/>
      <c r="WNK5"/>
      <c r="WNL5"/>
      <c r="WNM5"/>
      <c r="WNN5"/>
      <c r="WNO5"/>
      <c r="WNP5"/>
      <c r="WNQ5"/>
      <c r="WNR5"/>
      <c r="WNS5"/>
      <c r="WNT5"/>
      <c r="WNU5"/>
      <c r="WNV5"/>
      <c r="WNW5"/>
      <c r="WNX5"/>
      <c r="WNY5"/>
      <c r="WNZ5"/>
      <c r="WOA5"/>
      <c r="WOB5"/>
      <c r="WOC5"/>
      <c r="WOD5"/>
      <c r="WOE5"/>
      <c r="WOF5"/>
      <c r="WOG5"/>
      <c r="WOH5"/>
      <c r="WOI5"/>
      <c r="WOJ5"/>
      <c r="WOK5"/>
      <c r="WOL5"/>
      <c r="WOM5"/>
      <c r="WON5"/>
      <c r="WOO5"/>
      <c r="WOP5"/>
      <c r="WOQ5"/>
      <c r="WOR5"/>
      <c r="WOS5"/>
      <c r="WOT5"/>
      <c r="WOU5"/>
      <c r="WOV5"/>
      <c r="WOW5"/>
      <c r="WOX5"/>
      <c r="WOY5"/>
      <c r="WOZ5"/>
      <c r="WPA5"/>
      <c r="WPB5"/>
      <c r="WPC5"/>
      <c r="WPD5"/>
      <c r="WPE5"/>
      <c r="WPF5"/>
      <c r="WPG5"/>
      <c r="WPH5"/>
      <c r="WPI5"/>
      <c r="WPJ5"/>
      <c r="WPK5"/>
      <c r="WPL5"/>
      <c r="WPM5"/>
      <c r="WPN5"/>
      <c r="WPO5"/>
      <c r="WPP5"/>
      <c r="WPQ5"/>
      <c r="WPR5"/>
      <c r="WPS5"/>
      <c r="WPT5"/>
      <c r="WPU5"/>
      <c r="WPV5"/>
      <c r="WPW5"/>
      <c r="WPX5"/>
      <c r="WPY5"/>
      <c r="WPZ5"/>
      <c r="WQA5"/>
      <c r="WQB5"/>
      <c r="WQC5"/>
      <c r="WQD5"/>
      <c r="WQE5"/>
      <c r="WQF5"/>
      <c r="WQG5"/>
      <c r="WQH5"/>
      <c r="WQI5"/>
      <c r="WQJ5"/>
      <c r="WQK5"/>
      <c r="WQL5"/>
      <c r="WQM5"/>
      <c r="WQN5"/>
      <c r="WQO5"/>
      <c r="WQP5"/>
      <c r="WQQ5"/>
      <c r="WQR5"/>
      <c r="WQS5"/>
      <c r="WQT5"/>
      <c r="WQU5"/>
      <c r="WQV5"/>
      <c r="WQW5"/>
      <c r="WQX5"/>
      <c r="WQY5"/>
      <c r="WQZ5"/>
      <c r="WRA5"/>
      <c r="WRB5"/>
      <c r="WRC5"/>
      <c r="WRD5"/>
      <c r="WRE5"/>
      <c r="WRF5"/>
      <c r="WRG5"/>
      <c r="WRH5"/>
      <c r="WRI5"/>
      <c r="WRJ5"/>
      <c r="WRK5"/>
      <c r="WRL5"/>
      <c r="WRM5"/>
      <c r="WRN5"/>
      <c r="WRO5"/>
      <c r="WRP5"/>
      <c r="WRQ5"/>
      <c r="WRR5"/>
      <c r="WRS5"/>
      <c r="WRT5"/>
      <c r="WRU5"/>
      <c r="WRV5"/>
      <c r="WRW5"/>
      <c r="WRX5"/>
      <c r="WRY5"/>
      <c r="WRZ5"/>
      <c r="WSA5"/>
      <c r="WSB5"/>
      <c r="WSC5"/>
      <c r="WSD5"/>
      <c r="WSE5"/>
      <c r="WSF5"/>
      <c r="WSG5"/>
      <c r="WSH5"/>
      <c r="WSI5"/>
      <c r="WSJ5"/>
      <c r="WSK5"/>
      <c r="WSL5"/>
      <c r="WSM5"/>
      <c r="WSN5"/>
      <c r="WSO5"/>
      <c r="WSP5"/>
      <c r="WSQ5"/>
      <c r="WSR5"/>
      <c r="WSS5"/>
      <c r="WST5"/>
      <c r="WSU5"/>
      <c r="WSV5"/>
      <c r="WSW5"/>
      <c r="WSX5"/>
      <c r="WSY5"/>
      <c r="WSZ5"/>
      <c r="WTA5"/>
      <c r="WTB5"/>
      <c r="WTC5"/>
      <c r="WTD5"/>
      <c r="WTE5"/>
      <c r="WTF5"/>
      <c r="WTG5"/>
      <c r="WTH5"/>
      <c r="WTI5"/>
      <c r="WTJ5"/>
      <c r="WTK5"/>
      <c r="WTL5"/>
      <c r="WTM5"/>
      <c r="WTN5"/>
      <c r="WTO5"/>
      <c r="WTP5"/>
      <c r="WTQ5"/>
      <c r="WTR5"/>
      <c r="WTS5"/>
      <c r="WTT5"/>
      <c r="WTU5"/>
      <c r="WTV5"/>
      <c r="WTW5"/>
      <c r="WTX5"/>
      <c r="WTY5"/>
      <c r="WTZ5"/>
      <c r="WUA5"/>
      <c r="WUB5"/>
      <c r="WUC5"/>
      <c r="WUD5"/>
      <c r="WUE5"/>
      <c r="WUF5"/>
      <c r="WUG5"/>
      <c r="WUH5"/>
      <c r="WUI5"/>
      <c r="WUJ5"/>
      <c r="WUK5"/>
      <c r="WUL5"/>
      <c r="WUM5"/>
      <c r="WUN5"/>
      <c r="WUO5"/>
      <c r="WUP5"/>
      <c r="WUQ5"/>
      <c r="WUR5"/>
      <c r="WUS5"/>
      <c r="WUT5"/>
      <c r="WUU5"/>
      <c r="WUV5"/>
      <c r="WUW5"/>
      <c r="WUX5"/>
      <c r="WUY5"/>
      <c r="WUZ5"/>
      <c r="WVA5"/>
      <c r="WVB5"/>
      <c r="WVC5"/>
      <c r="WVD5"/>
      <c r="WVE5"/>
      <c r="WVF5"/>
      <c r="WVG5"/>
      <c r="WVH5"/>
      <c r="WVI5"/>
      <c r="WVJ5"/>
      <c r="WVK5"/>
      <c r="WVL5"/>
      <c r="WVM5"/>
      <c r="WVN5"/>
      <c r="WVO5"/>
      <c r="WVP5"/>
      <c r="WVQ5"/>
      <c r="WVR5"/>
      <c r="WVS5"/>
      <c r="WVT5"/>
      <c r="WVU5"/>
      <c r="WVV5"/>
      <c r="WVW5"/>
      <c r="WVX5"/>
      <c r="WVY5"/>
      <c r="WVZ5"/>
      <c r="WWA5"/>
      <c r="WWB5"/>
      <c r="WWC5"/>
      <c r="WWD5"/>
      <c r="WWE5"/>
      <c r="WWF5"/>
      <c r="WWG5"/>
      <c r="WWH5"/>
      <c r="WWI5"/>
      <c r="WWJ5"/>
      <c r="WWK5"/>
      <c r="WWL5"/>
      <c r="WWM5"/>
      <c r="WWN5"/>
      <c r="WWO5"/>
      <c r="WWP5"/>
      <c r="WWQ5"/>
      <c r="WWR5"/>
      <c r="WWS5"/>
      <c r="WWT5"/>
      <c r="WWU5"/>
      <c r="WWV5"/>
      <c r="WWW5"/>
      <c r="WWX5"/>
      <c r="WWY5"/>
      <c r="WWZ5"/>
      <c r="WXA5"/>
      <c r="WXB5"/>
      <c r="WXC5"/>
      <c r="WXD5"/>
      <c r="WXE5"/>
      <c r="WXF5"/>
      <c r="WXG5"/>
      <c r="WXH5"/>
      <c r="WXI5"/>
      <c r="WXJ5"/>
      <c r="WXK5"/>
      <c r="WXL5"/>
      <c r="WXM5"/>
      <c r="WXN5"/>
      <c r="WXO5"/>
      <c r="WXP5"/>
      <c r="WXQ5"/>
      <c r="WXR5"/>
      <c r="WXS5"/>
      <c r="WXT5"/>
      <c r="WXU5"/>
      <c r="WXV5"/>
      <c r="WXW5"/>
      <c r="WXX5"/>
      <c r="WXY5"/>
      <c r="WXZ5"/>
      <c r="WYA5"/>
      <c r="WYB5"/>
      <c r="WYC5"/>
      <c r="WYD5"/>
      <c r="WYE5"/>
      <c r="WYF5"/>
      <c r="WYG5"/>
      <c r="WYH5"/>
      <c r="WYI5"/>
      <c r="WYJ5"/>
      <c r="WYK5"/>
      <c r="WYL5"/>
      <c r="WYM5"/>
      <c r="WYN5"/>
      <c r="WYO5"/>
      <c r="WYP5"/>
      <c r="WYQ5"/>
      <c r="WYR5"/>
      <c r="WYS5"/>
      <c r="WYT5"/>
      <c r="WYU5"/>
      <c r="WYV5"/>
      <c r="WYW5"/>
      <c r="WYX5"/>
      <c r="WYY5"/>
      <c r="WYZ5"/>
      <c r="WZA5"/>
      <c r="WZB5"/>
      <c r="WZC5"/>
      <c r="WZD5"/>
      <c r="WZE5"/>
      <c r="WZF5"/>
      <c r="WZG5"/>
      <c r="WZH5"/>
      <c r="WZI5"/>
      <c r="WZJ5"/>
      <c r="WZK5"/>
      <c r="WZL5"/>
      <c r="WZM5"/>
      <c r="WZN5"/>
      <c r="WZO5"/>
      <c r="WZP5"/>
      <c r="WZQ5"/>
      <c r="WZR5"/>
      <c r="WZS5"/>
      <c r="WZT5"/>
      <c r="WZU5"/>
      <c r="WZV5"/>
      <c r="WZW5"/>
      <c r="WZX5"/>
      <c r="WZY5"/>
      <c r="WZZ5"/>
      <c r="XAA5"/>
      <c r="XAB5"/>
      <c r="XAC5"/>
      <c r="XAD5"/>
      <c r="XAE5"/>
      <c r="XAF5"/>
      <c r="XAG5"/>
      <c r="XAH5"/>
      <c r="XAI5"/>
      <c r="XAJ5"/>
      <c r="XAK5"/>
      <c r="XAL5"/>
      <c r="XAM5"/>
      <c r="XAN5"/>
      <c r="XAO5"/>
      <c r="XAP5"/>
      <c r="XAQ5"/>
      <c r="XAR5"/>
      <c r="XAS5"/>
      <c r="XAT5"/>
      <c r="XAU5"/>
      <c r="XAV5"/>
      <c r="XAW5"/>
      <c r="XAX5"/>
      <c r="XAY5"/>
      <c r="XAZ5"/>
      <c r="XBA5"/>
      <c r="XBB5"/>
      <c r="XBC5"/>
      <c r="XBD5"/>
      <c r="XBE5"/>
      <c r="XBF5"/>
      <c r="XBG5"/>
      <c r="XBH5"/>
      <c r="XBI5"/>
      <c r="XBJ5"/>
      <c r="XBK5"/>
      <c r="XBL5"/>
      <c r="XBM5"/>
      <c r="XBN5"/>
      <c r="XBO5"/>
      <c r="XBP5"/>
      <c r="XBQ5"/>
      <c r="XBR5"/>
      <c r="XBS5"/>
      <c r="XBT5"/>
      <c r="XBU5"/>
      <c r="XBV5"/>
      <c r="XBW5"/>
      <c r="XBX5"/>
      <c r="XBY5"/>
      <c r="XBZ5"/>
      <c r="XCA5"/>
      <c r="XCB5"/>
      <c r="XCC5"/>
      <c r="XCD5"/>
      <c r="XCE5"/>
      <c r="XCF5"/>
      <c r="XCG5"/>
      <c r="XCH5"/>
      <c r="XCI5"/>
      <c r="XCJ5"/>
      <c r="XCK5"/>
      <c r="XCL5"/>
      <c r="XCM5"/>
      <c r="XCN5"/>
      <c r="XCO5"/>
      <c r="XCP5"/>
      <c r="XCQ5"/>
      <c r="XCR5"/>
      <c r="XCS5"/>
      <c r="XCT5"/>
      <c r="XCU5"/>
      <c r="XCV5"/>
      <c r="XCW5"/>
      <c r="XCX5"/>
      <c r="XCY5"/>
      <c r="XCZ5"/>
      <c r="XDA5"/>
      <c r="XDB5"/>
      <c r="XDC5"/>
      <c r="XDD5"/>
      <c r="XDE5"/>
      <c r="XDF5"/>
      <c r="XDG5"/>
      <c r="XDH5"/>
      <c r="XDI5"/>
      <c r="XDJ5"/>
      <c r="XDK5"/>
      <c r="XDL5"/>
      <c r="XDM5"/>
      <c r="XDN5"/>
      <c r="XDO5"/>
      <c r="XDP5"/>
      <c r="XDQ5"/>
      <c r="XDR5"/>
      <c r="XDS5"/>
      <c r="XDT5"/>
      <c r="XDU5"/>
      <c r="XDV5"/>
      <c r="XDW5"/>
      <c r="XDX5"/>
      <c r="XDY5"/>
      <c r="XDZ5"/>
      <c r="XEA5"/>
      <c r="XEB5"/>
      <c r="XEC5"/>
      <c r="XED5"/>
      <c r="XEE5"/>
      <c r="XEF5"/>
      <c r="XEG5"/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</row>
    <row r="6" spans="1:16383">
      <c r="B6" s="243"/>
      <c r="O6" s="243"/>
    </row>
    <row r="7" spans="1:16383">
      <c r="C7" s="168" t="s">
        <v>74</v>
      </c>
      <c r="D7" s="214">
        <v>100</v>
      </c>
      <c r="F7" s="168"/>
      <c r="G7" s="236" t="s">
        <v>204</v>
      </c>
      <c r="H7" s="237"/>
      <c r="I7" s="168"/>
      <c r="J7" s="233"/>
      <c r="K7" s="229"/>
      <c r="P7" s="168" t="s">
        <v>74</v>
      </c>
      <c r="Q7" s="214">
        <v>100</v>
      </c>
      <c r="X7" s="229"/>
    </row>
    <row r="8" spans="1:16383">
      <c r="C8" s="168" t="s">
        <v>150</v>
      </c>
      <c r="D8" s="214">
        <v>3</v>
      </c>
      <c r="F8" s="168"/>
      <c r="G8" s="240" t="s">
        <v>205</v>
      </c>
      <c r="H8" s="241">
        <v>0.05</v>
      </c>
      <c r="I8" s="168"/>
      <c r="J8" s="244"/>
      <c r="K8" s="229"/>
      <c r="P8" s="168" t="s">
        <v>150</v>
      </c>
      <c r="Q8" s="214">
        <v>3</v>
      </c>
      <c r="X8" s="229"/>
    </row>
    <row r="9" spans="1:16383">
      <c r="C9" s="168" t="s">
        <v>206</v>
      </c>
      <c r="D9" s="230">
        <v>5.25</v>
      </c>
      <c r="F9" s="168"/>
      <c r="G9" s="240" t="s">
        <v>207</v>
      </c>
      <c r="H9" s="235">
        <v>0.18229999999999999</v>
      </c>
      <c r="I9" s="168"/>
      <c r="J9" s="244"/>
      <c r="K9" s="229"/>
      <c r="P9" s="168" t="s">
        <v>206</v>
      </c>
      <c r="Q9" s="230">
        <v>6</v>
      </c>
      <c r="S9" s="168"/>
      <c r="X9" s="229"/>
    </row>
    <row r="10" spans="1:16383">
      <c r="C10" s="168" t="s">
        <v>146</v>
      </c>
      <c r="D10" s="214">
        <f>C27</f>
        <v>100.43042781733595</v>
      </c>
      <c r="G10" s="240" t="s">
        <v>208</v>
      </c>
      <c r="H10" s="245">
        <v>1</v>
      </c>
      <c r="I10" s="168"/>
      <c r="J10" s="244"/>
      <c r="K10" s="229"/>
      <c r="P10" s="168" t="s">
        <v>146</v>
      </c>
      <c r="Q10" s="214">
        <f>P27</f>
        <v>42.609960373409315</v>
      </c>
      <c r="X10" s="229"/>
    </row>
    <row r="11" spans="1:16383">
      <c r="C11" s="168" t="s">
        <v>82</v>
      </c>
      <c r="D11" s="239">
        <f>RATE(D8,D9,-D10,D7)</f>
        <v>5.0916716440632157E-2</v>
      </c>
      <c r="G11" s="240" t="s">
        <v>209</v>
      </c>
      <c r="H11" s="245">
        <f>EXP(H9*H10)</f>
        <v>1.1999741321260697</v>
      </c>
      <c r="I11" s="168"/>
      <c r="J11" s="244"/>
      <c r="P11" s="168" t="s">
        <v>210</v>
      </c>
      <c r="Q11" s="220">
        <v>35</v>
      </c>
      <c r="R11" s="214" t="s">
        <v>178</v>
      </c>
    </row>
    <row r="12" spans="1:16383">
      <c r="C12" s="217"/>
      <c r="D12" s="239"/>
      <c r="G12" s="240" t="s">
        <v>211</v>
      </c>
      <c r="H12" s="245">
        <f>1/H11</f>
        <v>0.83335129752191994</v>
      </c>
      <c r="I12" s="168"/>
      <c r="J12" s="244"/>
      <c r="L12" s="231"/>
      <c r="P12" s="168" t="s">
        <v>82</v>
      </c>
      <c r="Q12" s="218">
        <f>RATE(Q8,Q9,-Q10,Q7)</f>
        <v>0.43937495057299863</v>
      </c>
      <c r="T12" s="168"/>
      <c r="Y12" s="231"/>
    </row>
    <row r="13" spans="1:16383">
      <c r="C13" s="217"/>
      <c r="D13" s="239"/>
      <c r="I13" s="168"/>
      <c r="J13" s="244"/>
      <c r="L13" s="231"/>
      <c r="P13" s="168" t="s">
        <v>212</v>
      </c>
      <c r="Q13" s="218">
        <f>Q12-D11</f>
        <v>0.38845823413236646</v>
      </c>
      <c r="T13" s="168"/>
      <c r="U13" s="244"/>
      <c r="Y13" s="231"/>
    </row>
    <row r="14" spans="1:16383">
      <c r="C14" s="217"/>
      <c r="D14" s="239"/>
      <c r="I14" s="168"/>
      <c r="J14" s="244"/>
      <c r="L14" s="231"/>
      <c r="P14" s="217"/>
      <c r="Q14" s="239"/>
      <c r="V14" s="168"/>
      <c r="W14" s="244"/>
      <c r="Y14" s="231"/>
    </row>
    <row r="16" spans="1:16383" ht="31.5">
      <c r="C16" s="223" t="s">
        <v>213</v>
      </c>
      <c r="F16" s="223" t="s">
        <v>214</v>
      </c>
      <c r="I16" s="223" t="s">
        <v>215</v>
      </c>
      <c r="L16" s="223" t="s">
        <v>216</v>
      </c>
      <c r="P16" s="223" t="s">
        <v>213</v>
      </c>
      <c r="S16" s="223" t="s">
        <v>214</v>
      </c>
      <c r="V16" s="223" t="s">
        <v>215</v>
      </c>
      <c r="Y16" s="223" t="s">
        <v>216</v>
      </c>
    </row>
    <row r="17" spans="3:25">
      <c r="C17" s="223"/>
      <c r="F17" s="223"/>
      <c r="I17" s="224"/>
      <c r="J17" s="227">
        <f>G21*$H$11</f>
        <v>7.1996895888585724E-2</v>
      </c>
      <c r="L17" s="224"/>
      <c r="P17" s="223"/>
      <c r="S17" s="223"/>
      <c r="V17" s="224"/>
      <c r="W17" s="227">
        <f>J17+$Q$11/10000</f>
        <v>7.5496895888585727E-2</v>
      </c>
      <c r="Y17" s="224"/>
    </row>
    <row r="18" spans="3:25">
      <c r="C18" s="224"/>
      <c r="F18" s="224"/>
      <c r="I18" s="247">
        <f>J18</f>
        <v>98.18125444547816</v>
      </c>
      <c r="J18" s="244">
        <f>L18/(1+J17)</f>
        <v>98.18125444547816</v>
      </c>
      <c r="L18" s="226">
        <f>D7+D9</f>
        <v>105.25</v>
      </c>
      <c r="P18" s="224"/>
      <c r="S18" s="224"/>
      <c r="V18" s="247">
        <f>W18</f>
        <v>98.559094317442728</v>
      </c>
      <c r="W18" s="244">
        <f>Y18/(1+W17)</f>
        <v>98.559094317442728</v>
      </c>
      <c r="Y18" s="226">
        <f>Q7+Q9</f>
        <v>106</v>
      </c>
    </row>
    <row r="19" spans="3:25">
      <c r="C19" s="224"/>
      <c r="F19" s="224"/>
      <c r="I19" s="225">
        <f>D9</f>
        <v>5.25</v>
      </c>
      <c r="L19" s="224"/>
      <c r="P19" s="224"/>
      <c r="S19" s="224"/>
      <c r="V19" s="225">
        <f>Q9</f>
        <v>6</v>
      </c>
      <c r="Y19" s="224"/>
    </row>
    <row r="20" spans="3:25">
      <c r="C20" s="224"/>
      <c r="F20" s="224"/>
      <c r="I20" s="228">
        <f>SUM(I18:I19)</f>
        <v>103.43125444547816</v>
      </c>
      <c r="L20" s="224"/>
      <c r="P20" s="224"/>
      <c r="S20" s="224"/>
      <c r="V20" s="228">
        <f>SUM(V18:V19)</f>
        <v>104.55909431744273</v>
      </c>
      <c r="Y20" s="224"/>
    </row>
    <row r="21" spans="3:25">
      <c r="C21" s="224"/>
      <c r="E21" s="234" t="s">
        <v>217</v>
      </c>
      <c r="F21" s="224">
        <f>(EXP(D26*$H$10)-$H$12)/($H$11-$H$12)</f>
        <v>0.59439777964020346</v>
      </c>
      <c r="G21" s="227">
        <f>D26*$H$11</f>
        <v>5.9998706606303492E-2</v>
      </c>
      <c r="H21" s="234" t="s">
        <v>217</v>
      </c>
      <c r="I21" s="224">
        <f>(EXP(G21*$H$10)-$H$12)/($H$11-$H$12)</f>
        <v>0.62321234272908999</v>
      </c>
      <c r="L21" s="224"/>
      <c r="P21" s="224"/>
      <c r="R21" s="234" t="s">
        <v>217</v>
      </c>
      <c r="S21" s="224">
        <f>(EXP(Q26*$H$10)-$H$12)/($H$11-$H$12)</f>
        <v>0.60445142344977898</v>
      </c>
      <c r="T21" s="227">
        <f>G21+$Q$11/10000</f>
        <v>6.3498706606303496E-2</v>
      </c>
      <c r="U21" s="234" t="s">
        <v>217</v>
      </c>
      <c r="V21" s="224">
        <f>(EXP(T21*$H$10)-$H$12)/($H$11-$H$12)</f>
        <v>0.63336701420476049</v>
      </c>
      <c r="Y21" s="224"/>
    </row>
    <row r="22" spans="3:25">
      <c r="C22" s="224"/>
      <c r="F22" s="247">
        <f>G22</f>
        <v>98.307899830118444</v>
      </c>
      <c r="G22" s="214">
        <f>((I21*I20)+(I25*I28))/(1+G21)</f>
        <v>98.307899830118444</v>
      </c>
      <c r="I22" s="224"/>
      <c r="L22" s="224"/>
      <c r="P22" s="224"/>
      <c r="S22" s="247">
        <f>T22</f>
        <v>64.338657739330927</v>
      </c>
      <c r="T22" s="214">
        <f>((V21*V20)+(V25*V28))/(1+T21)</f>
        <v>64.338657739330927</v>
      </c>
      <c r="V22" s="224"/>
      <c r="Y22" s="224"/>
    </row>
    <row r="23" spans="3:25">
      <c r="C23" s="224"/>
      <c r="F23" s="225">
        <f>$Q$9</f>
        <v>6</v>
      </c>
      <c r="I23" s="224"/>
      <c r="L23" s="224"/>
      <c r="P23" s="224"/>
      <c r="S23" s="225">
        <f>$Q$9</f>
        <v>6</v>
      </c>
      <c r="V23" s="224"/>
      <c r="Y23" s="224"/>
    </row>
    <row r="24" spans="3:25">
      <c r="C24" s="224"/>
      <c r="F24" s="225">
        <f>SUM(F22:F23)</f>
        <v>104.30789983011844</v>
      </c>
      <c r="I24" s="224"/>
      <c r="L24" s="224"/>
      <c r="P24" s="224"/>
      <c r="S24" s="225">
        <f>SUM(S22:S23)</f>
        <v>70.338657739330927</v>
      </c>
      <c r="V24" s="224"/>
      <c r="Y24" s="224"/>
    </row>
    <row r="25" spans="3:25">
      <c r="C25" s="224"/>
      <c r="F25" s="224"/>
      <c r="H25" s="234" t="s">
        <v>218</v>
      </c>
      <c r="I25" s="224">
        <f>1-I21</f>
        <v>0.37678765727091001</v>
      </c>
      <c r="J25" s="227">
        <f>G21*$H$12</f>
        <v>0.05</v>
      </c>
      <c r="L25" s="224"/>
      <c r="P25" s="224"/>
      <c r="S25" s="224"/>
      <c r="U25" s="234" t="s">
        <v>218</v>
      </c>
      <c r="V25" s="224">
        <f>1-V21</f>
        <v>0.36663298579523951</v>
      </c>
      <c r="W25" s="227">
        <f>T21*$H$12</f>
        <v>5.2916729541326729E-2</v>
      </c>
      <c r="Y25" s="224"/>
    </row>
    <row r="26" spans="3:25">
      <c r="C26" s="224" t="s">
        <v>146</v>
      </c>
      <c r="D26" s="227">
        <f>$H$8</f>
        <v>0.05</v>
      </c>
      <c r="F26" s="224"/>
      <c r="I26" s="224">
        <f>J26</f>
        <v>100.23809523809524</v>
      </c>
      <c r="J26" s="244">
        <f>L26/(1+J25)</f>
        <v>100.23809523809524</v>
      </c>
      <c r="L26" s="226">
        <f>L18</f>
        <v>105.25</v>
      </c>
      <c r="P26" s="224" t="s">
        <v>146</v>
      </c>
      <c r="Q26" s="227">
        <f>H8+(Q11/10000)</f>
        <v>5.3500000000000006E-2</v>
      </c>
      <c r="S26" s="224"/>
      <c r="V26" s="216"/>
      <c r="W26" s="246">
        <f>Y26/(1+W25)</f>
        <v>100.67272845610108</v>
      </c>
      <c r="Y26" s="226">
        <f>Y18</f>
        <v>106</v>
      </c>
    </row>
    <row r="27" spans="3:25">
      <c r="C27" s="247">
        <f>D27</f>
        <v>100.43042781733595</v>
      </c>
      <c r="D27" s="214">
        <f>((F21*F24)+(F30*F33))/(1+D26)</f>
        <v>100.43042781733595</v>
      </c>
      <c r="F27" s="224"/>
      <c r="I27" s="225">
        <f>D9</f>
        <v>5.25</v>
      </c>
      <c r="L27" s="224"/>
      <c r="P27" s="247">
        <f>Q27</f>
        <v>42.609960373409315</v>
      </c>
      <c r="Q27" s="214">
        <f>((S21*S24)+(S30*S33))/(1+Q26)</f>
        <v>42.609960373409315</v>
      </c>
      <c r="S27" s="224"/>
      <c r="V27" s="225">
        <f>Q9</f>
        <v>6</v>
      </c>
      <c r="Y27" s="224"/>
    </row>
    <row r="28" spans="3:25">
      <c r="C28" s="224"/>
      <c r="F28" s="224"/>
      <c r="I28" s="225">
        <f>SUM(I26:I27)</f>
        <v>105.48809523809524</v>
      </c>
      <c r="L28" s="224"/>
      <c r="P28" s="224"/>
      <c r="S28" s="224"/>
      <c r="V28" s="225">
        <f>SUM(V26:V27)</f>
        <v>6</v>
      </c>
      <c r="Y28" s="224"/>
    </row>
    <row r="29" spans="3:25">
      <c r="C29" s="224"/>
      <c r="F29" s="224"/>
      <c r="H29" s="234" t="s">
        <v>217</v>
      </c>
      <c r="I29" s="224">
        <f>(EXP(G30*$H$10)-$H$12)/($H$11-$H$12)</f>
        <v>0.57060424051280523</v>
      </c>
      <c r="L29" s="224"/>
      <c r="P29" s="224"/>
      <c r="S29" s="224"/>
      <c r="U29" s="234" t="s">
        <v>217</v>
      </c>
      <c r="V29" s="224">
        <f>(EXP(T30*$H$10)-$H$12)/($H$11-$H$12)</f>
        <v>0.57891051266670179</v>
      </c>
      <c r="Y29" s="224"/>
    </row>
    <row r="30" spans="3:25">
      <c r="C30" s="224"/>
      <c r="E30" s="234" t="s">
        <v>218</v>
      </c>
      <c r="F30" s="224">
        <f>1-F21</f>
        <v>0.40560222035979654</v>
      </c>
      <c r="G30" s="227">
        <f>D26*$H$12</f>
        <v>4.1667564876095999E-2</v>
      </c>
      <c r="I30" s="224"/>
      <c r="L30" s="224"/>
      <c r="P30" s="224"/>
      <c r="R30" s="234" t="s">
        <v>218</v>
      </c>
      <c r="S30" s="224">
        <f>1-S21</f>
        <v>0.39554857655022102</v>
      </c>
      <c r="T30" s="227">
        <f>Q26*$H$12</f>
        <v>4.4584294417422725E-2</v>
      </c>
      <c r="V30" s="224"/>
      <c r="Y30" s="224"/>
    </row>
    <row r="31" spans="3:25">
      <c r="C31" s="224"/>
      <c r="F31" s="247">
        <f>G31</f>
        <v>101.87851895066829</v>
      </c>
      <c r="G31" s="214">
        <f>((I29*I28)+(I31*I34))/(1+G30)</f>
        <v>101.87851895066829</v>
      </c>
      <c r="H31" s="234" t="s">
        <v>218</v>
      </c>
      <c r="I31" s="224">
        <f>1-I29</f>
        <v>0.42939575948719477</v>
      </c>
      <c r="J31" s="227">
        <f>G30*$H$12</f>
        <v>3.4723719254073381E-2</v>
      </c>
      <c r="L31" s="224"/>
      <c r="P31" s="224"/>
      <c r="S31" s="222"/>
      <c r="T31" s="215"/>
      <c r="U31" s="234" t="s">
        <v>218</v>
      </c>
      <c r="V31" s="224">
        <f>1-V29</f>
        <v>0.42108948733329821</v>
      </c>
      <c r="W31" s="227">
        <f>T30*$H$12</f>
        <v>3.7154379601858523E-2</v>
      </c>
      <c r="Y31" s="224"/>
    </row>
    <row r="32" spans="3:25">
      <c r="C32" s="224"/>
      <c r="F32" s="225">
        <f>D9</f>
        <v>5.25</v>
      </c>
      <c r="I32" s="247">
        <f>J32</f>
        <v>101.71797364022363</v>
      </c>
      <c r="J32" s="244">
        <f>L32/(1+J31)</f>
        <v>101.71797364022363</v>
      </c>
      <c r="L32" s="226">
        <f>L18</f>
        <v>105.25</v>
      </c>
      <c r="P32" s="224"/>
      <c r="S32" s="225">
        <f>Q9</f>
        <v>6</v>
      </c>
      <c r="V32" s="222">
        <f>W32</f>
        <v>102.20272129660306</v>
      </c>
      <c r="W32" s="246">
        <f>Y32/(1+W31)</f>
        <v>102.20272129660306</v>
      </c>
      <c r="Y32" s="226">
        <f>Y18</f>
        <v>106</v>
      </c>
    </row>
    <row r="33" spans="2:25">
      <c r="C33" s="224"/>
      <c r="F33" s="225">
        <f>SUM(F31:F32)</f>
        <v>107.12851895066829</v>
      </c>
      <c r="I33" s="225">
        <f>D9</f>
        <v>5.25</v>
      </c>
      <c r="L33" s="224"/>
      <c r="P33" s="224"/>
      <c r="S33" s="225">
        <f>SUM(S31:S32)</f>
        <v>6</v>
      </c>
      <c r="V33" s="225">
        <f>Q9</f>
        <v>6</v>
      </c>
      <c r="Y33" s="224"/>
    </row>
    <row r="34" spans="2:25">
      <c r="C34" s="224"/>
      <c r="F34" s="224"/>
      <c r="I34" s="228">
        <f>SUM(I32:I33)</f>
        <v>106.96797364022363</v>
      </c>
      <c r="L34" s="224"/>
      <c r="P34" s="224"/>
      <c r="S34" s="224"/>
      <c r="V34" s="228">
        <f>SUM(V32:V33)</f>
        <v>108.20272129660306</v>
      </c>
      <c r="Y34" s="224"/>
    </row>
    <row r="35" spans="2:25">
      <c r="C35" s="224"/>
    </row>
    <row r="37" spans="2:25">
      <c r="B37" t="s">
        <v>219</v>
      </c>
      <c r="C37"/>
      <c r="D37"/>
      <c r="E37"/>
      <c r="F37"/>
      <c r="G37"/>
      <c r="H37"/>
      <c r="I37"/>
      <c r="J37"/>
      <c r="K37"/>
      <c r="L37"/>
      <c r="N37"/>
      <c r="O37"/>
      <c r="P37"/>
      <c r="Q37"/>
      <c r="R37"/>
      <c r="S37"/>
      <c r="T37"/>
      <c r="U37"/>
      <c r="V37"/>
      <c r="W37"/>
      <c r="X37"/>
    </row>
    <row r="38" spans="2:25">
      <c r="B38" s="243"/>
      <c r="N38" s="243"/>
    </row>
    <row r="39" spans="2:25">
      <c r="C39" s="168" t="s">
        <v>74</v>
      </c>
      <c r="D39" s="214">
        <v>100</v>
      </c>
      <c r="I39" s="168"/>
      <c r="J39" s="233"/>
      <c r="K39" s="229"/>
      <c r="O39" s="168"/>
      <c r="U39" s="168"/>
      <c r="V39" s="233"/>
      <c r="W39" s="229"/>
    </row>
    <row r="40" spans="2:25">
      <c r="C40" s="168" t="s">
        <v>150</v>
      </c>
      <c r="D40" s="214">
        <f>Q8</f>
        <v>3</v>
      </c>
      <c r="F40" s="168" t="s">
        <v>205</v>
      </c>
      <c r="G40" s="219">
        <v>0.05</v>
      </c>
      <c r="I40" s="168"/>
      <c r="J40" s="244"/>
      <c r="K40" s="229"/>
      <c r="O40" s="168"/>
      <c r="R40" s="168"/>
      <c r="S40" s="219"/>
      <c r="U40" s="168"/>
      <c r="V40" s="244"/>
      <c r="W40" s="229"/>
    </row>
    <row r="41" spans="2:25">
      <c r="C41" s="168" t="s">
        <v>206</v>
      </c>
      <c r="D41" s="230">
        <f>Q9</f>
        <v>6</v>
      </c>
      <c r="F41" s="168"/>
      <c r="G41" s="221"/>
      <c r="I41" s="168"/>
      <c r="J41" s="244"/>
      <c r="K41" s="229"/>
      <c r="O41" s="168"/>
      <c r="P41" s="230"/>
      <c r="R41" s="168"/>
      <c r="S41" s="221"/>
      <c r="U41" s="168"/>
      <c r="V41" s="244"/>
      <c r="W41" s="229"/>
    </row>
    <row r="42" spans="2:25">
      <c r="C42" s="168" t="s">
        <v>146</v>
      </c>
      <c r="D42" s="214">
        <f>C59</f>
        <v>99.989423837312671</v>
      </c>
      <c r="F42" s="168" t="s">
        <v>220</v>
      </c>
      <c r="G42" s="238">
        <v>101</v>
      </c>
      <c r="H42" s="214" t="s">
        <v>221</v>
      </c>
      <c r="I42" s="168"/>
      <c r="J42" s="244"/>
      <c r="K42" s="229"/>
      <c r="O42" s="168"/>
      <c r="R42" s="168"/>
      <c r="S42" s="238"/>
      <c r="U42" s="168"/>
      <c r="V42" s="244"/>
      <c r="W42" s="229"/>
    </row>
    <row r="43" spans="2:25">
      <c r="C43" s="168" t="s">
        <v>210</v>
      </c>
      <c r="D43" s="220">
        <f>Q11</f>
        <v>35</v>
      </c>
      <c r="E43" s="214" t="s">
        <v>178</v>
      </c>
      <c r="F43" s="168" t="s">
        <v>222</v>
      </c>
      <c r="G43" s="242">
        <f>(D44-Q12)*10000</f>
        <v>-3793.3538120871804</v>
      </c>
      <c r="H43" s="214" t="s">
        <v>178</v>
      </c>
      <c r="I43" s="168"/>
      <c r="J43" s="244"/>
      <c r="O43" s="168"/>
      <c r="P43" s="232"/>
      <c r="R43" s="168"/>
      <c r="S43" s="230"/>
      <c r="U43" s="168"/>
      <c r="V43" s="244"/>
    </row>
    <row r="44" spans="2:25">
      <c r="C44" s="168" t="s">
        <v>82</v>
      </c>
      <c r="D44" s="239">
        <f>RATE(D40,D41,-D42,D39)</f>
        <v>6.0039569364280621E-2</v>
      </c>
      <c r="F44" s="168" t="s">
        <v>223</v>
      </c>
      <c r="G44" s="242">
        <f>D43-G43</f>
        <v>3828.3538120871804</v>
      </c>
      <c r="H44" s="214" t="s">
        <v>178</v>
      </c>
      <c r="I44" s="168"/>
      <c r="J44" s="244"/>
      <c r="L44" s="231"/>
      <c r="O44" s="168"/>
      <c r="P44" s="239"/>
      <c r="U44" s="168"/>
      <c r="V44" s="244"/>
      <c r="X44" s="231"/>
    </row>
    <row r="45" spans="2:25">
      <c r="C45" s="168" t="s">
        <v>212</v>
      </c>
      <c r="D45" s="239">
        <f>D44-D11</f>
        <v>9.122852923648464E-3</v>
      </c>
      <c r="I45" s="168"/>
      <c r="J45" s="244"/>
      <c r="L45" s="231"/>
      <c r="O45" s="168"/>
      <c r="P45" s="239"/>
      <c r="U45" s="168"/>
      <c r="V45" s="244"/>
      <c r="X45" s="231"/>
    </row>
    <row r="46" spans="2:25">
      <c r="C46" s="217"/>
      <c r="D46" s="239"/>
      <c r="I46" s="168"/>
      <c r="J46" s="244"/>
      <c r="L46" s="231"/>
      <c r="O46" s="217"/>
      <c r="P46" s="239"/>
      <c r="U46" s="168"/>
      <c r="V46" s="244"/>
      <c r="X46" s="231"/>
    </row>
    <row r="48" spans="2:25" ht="31.5">
      <c r="C48" s="223" t="s">
        <v>213</v>
      </c>
      <c r="F48" s="223" t="s">
        <v>214</v>
      </c>
      <c r="I48" s="223" t="s">
        <v>215</v>
      </c>
      <c r="L48" s="223" t="s">
        <v>216</v>
      </c>
      <c r="O48" s="168"/>
      <c r="R48" s="168"/>
      <c r="U48" s="168"/>
      <c r="X48" s="168"/>
    </row>
    <row r="49" spans="3:24">
      <c r="C49" s="223"/>
      <c r="F49" s="223"/>
      <c r="I49" s="224"/>
      <c r="J49" s="227">
        <f>(D43/10000)+G53*$H$11</f>
        <v>8.4736588063227966E-2</v>
      </c>
      <c r="L49" s="224"/>
      <c r="O49" s="168"/>
      <c r="R49" s="168"/>
      <c r="V49" s="227"/>
    </row>
    <row r="50" spans="3:24">
      <c r="C50" s="224"/>
      <c r="F50" s="224"/>
      <c r="I50" s="222">
        <f>IF(J50&gt;=$G$42,$G$42,J50)</f>
        <v>97.719576500374657</v>
      </c>
      <c r="J50" s="246">
        <f>L50/(1+J49)</f>
        <v>97.719576500374657</v>
      </c>
      <c r="L50" s="226">
        <f>D39+D41</f>
        <v>106</v>
      </c>
      <c r="U50" s="244"/>
      <c r="V50" s="244"/>
      <c r="X50" s="217"/>
    </row>
    <row r="51" spans="3:24">
      <c r="C51" s="224"/>
      <c r="F51" s="224"/>
      <c r="I51" s="225">
        <f>D41</f>
        <v>6</v>
      </c>
      <c r="L51" s="224"/>
    </row>
    <row r="52" spans="3:24">
      <c r="C52" s="224"/>
      <c r="F52" s="224"/>
      <c r="I52" s="228">
        <f>SUM(I50:I51)</f>
        <v>103.71957650037466</v>
      </c>
      <c r="L52" s="224"/>
      <c r="U52" s="244"/>
    </row>
    <row r="53" spans="3:24">
      <c r="C53" s="224"/>
      <c r="E53" s="234" t="s">
        <v>217</v>
      </c>
      <c r="F53" s="224">
        <f>(EXP(D58*$H$10)-$H$12)/($H$11-$H$12)</f>
        <v>0.60445142344977898</v>
      </c>
      <c r="G53" s="227">
        <f>(D43/10000)+D58*$H$11</f>
        <v>6.7698616068744735E-2</v>
      </c>
      <c r="H53" s="234" t="s">
        <v>217</v>
      </c>
      <c r="I53" s="224">
        <f>(EXP(G53*$H$10)-$H$12)/($H$11-$H$12)</f>
        <v>0.64559936348438496</v>
      </c>
      <c r="L53" s="224"/>
      <c r="Q53" s="234"/>
      <c r="S53" s="227"/>
      <c r="T53" s="234"/>
    </row>
    <row r="54" spans="3:24">
      <c r="C54" s="224"/>
      <c r="F54" s="222">
        <f>G54</f>
        <v>97.902669116633206</v>
      </c>
      <c r="G54" s="215">
        <f>((I53*I52)+(I57*I60))/(1+G53)</f>
        <v>97.902669116633206</v>
      </c>
      <c r="I54" s="224"/>
      <c r="L54" s="224"/>
      <c r="R54" s="244"/>
    </row>
    <row r="55" spans="3:24">
      <c r="C55" s="224"/>
      <c r="F55" s="225">
        <f>$Q$9</f>
        <v>6</v>
      </c>
      <c r="I55" s="224"/>
      <c r="L55" s="224"/>
    </row>
    <row r="56" spans="3:24">
      <c r="C56" s="224"/>
      <c r="F56" s="225">
        <f>SUM(F54:F55)</f>
        <v>103.90266911663321</v>
      </c>
      <c r="I56" s="224"/>
      <c r="L56" s="224"/>
    </row>
    <row r="57" spans="3:24">
      <c r="C57" s="224"/>
      <c r="F57" s="224"/>
      <c r="H57" s="234" t="s">
        <v>218</v>
      </c>
      <c r="I57" s="224">
        <f>1-I53</f>
        <v>0.35440063651561504</v>
      </c>
      <c r="J57" s="227">
        <f>(D43/10000)+G53*$H$12</f>
        <v>5.9916729541326728E-2</v>
      </c>
      <c r="L57" s="224"/>
      <c r="T57" s="234"/>
      <c r="V57" s="227"/>
    </row>
    <row r="58" spans="3:24">
      <c r="C58" s="224"/>
      <c r="D58" s="227">
        <f>$H$8+(D43/10000)</f>
        <v>5.3500000000000006E-2</v>
      </c>
      <c r="F58" s="224"/>
      <c r="I58" s="222">
        <f>IF(J58&gt;=$G$42,$G$42,J58)</f>
        <v>100.00785632081769</v>
      </c>
      <c r="J58" s="246">
        <f>L58/(1+J57)</f>
        <v>100.00785632081769</v>
      </c>
      <c r="L58" s="226">
        <f>L50</f>
        <v>106</v>
      </c>
      <c r="P58" s="227"/>
      <c r="U58" s="244"/>
      <c r="V58" s="244"/>
      <c r="X58" s="217"/>
    </row>
    <row r="59" spans="3:24">
      <c r="C59" s="222">
        <f>D59</f>
        <v>99.989423837312671</v>
      </c>
      <c r="D59" s="215">
        <f>((F53*F56)+(F62*F65))/(1+D58)</f>
        <v>99.989423837312671</v>
      </c>
      <c r="F59" s="224"/>
      <c r="I59" s="225">
        <f>D41</f>
        <v>6</v>
      </c>
      <c r="L59" s="224"/>
      <c r="O59" s="244"/>
    </row>
    <row r="60" spans="3:24">
      <c r="C60" s="224"/>
      <c r="F60" s="224"/>
      <c r="I60" s="225">
        <f>SUM(I58:I59)</f>
        <v>106.00785632081769</v>
      </c>
      <c r="L60" s="224"/>
    </row>
    <row r="61" spans="3:24">
      <c r="C61" s="224"/>
      <c r="F61" s="224"/>
      <c r="H61" s="234" t="s">
        <v>217</v>
      </c>
      <c r="I61" s="224">
        <f>(EXP(G62*$H$10)-$H$12)/($H$11-$H$12)</f>
        <v>0.58890985607159385</v>
      </c>
      <c r="L61" s="224"/>
      <c r="T61" s="234"/>
    </row>
    <row r="62" spans="3:24">
      <c r="C62" s="224"/>
      <c r="E62" s="234" t="s">
        <v>218</v>
      </c>
      <c r="F62" s="224">
        <f>1-F53</f>
        <v>0.39554857655022102</v>
      </c>
      <c r="G62" s="227">
        <f>(D43/10000)+D58*$H$12</f>
        <v>4.8084294417422728E-2</v>
      </c>
      <c r="I62" s="224"/>
      <c r="L62" s="224"/>
      <c r="Q62" s="234"/>
      <c r="S62" s="227"/>
    </row>
    <row r="63" spans="3:24">
      <c r="C63" s="224"/>
      <c r="F63" s="222">
        <f>G63</f>
        <v>101.53354780289075</v>
      </c>
      <c r="G63" s="215">
        <f>((I61*I60)+(I63*I66))/(1+G62)</f>
        <v>101.53354780289075</v>
      </c>
      <c r="H63" s="234" t="s">
        <v>218</v>
      </c>
      <c r="I63" s="224">
        <f>1-I61</f>
        <v>0.41109014392840615</v>
      </c>
      <c r="J63" s="227">
        <f>(D43/10000)+G62*$H$12</f>
        <v>4.3571109143185245E-2</v>
      </c>
      <c r="L63" s="224"/>
      <c r="R63" s="244"/>
      <c r="T63" s="234"/>
      <c r="V63" s="227"/>
    </row>
    <row r="64" spans="3:24">
      <c r="C64" s="224"/>
      <c r="F64" s="225">
        <f>D41</f>
        <v>6</v>
      </c>
      <c r="I64" s="222">
        <f>IF(J64&gt;=$G$42,$G$42,J64)</f>
        <v>101</v>
      </c>
      <c r="J64" s="246">
        <f>L64/(1+J63)</f>
        <v>101.57429529361958</v>
      </c>
      <c r="L64" s="226">
        <f>L50</f>
        <v>106</v>
      </c>
      <c r="U64" s="244"/>
      <c r="V64" s="244"/>
      <c r="X64" s="217"/>
    </row>
    <row r="65" spans="2:21">
      <c r="C65" s="224"/>
      <c r="F65" s="225">
        <f>SUM(F63:F64)</f>
        <v>107.53354780289075</v>
      </c>
      <c r="I65" s="225">
        <f>D41</f>
        <v>6</v>
      </c>
      <c r="L65" s="224"/>
    </row>
    <row r="66" spans="2:21">
      <c r="C66" s="224"/>
      <c r="F66" s="224"/>
      <c r="I66" s="228">
        <f>SUM(I64:I65)</f>
        <v>107</v>
      </c>
      <c r="L66" s="224"/>
      <c r="U66" s="244"/>
    </row>
    <row r="72" spans="2:21">
      <c r="B72" s="243"/>
    </row>
    <row r="73" spans="2:21">
      <c r="F73" s="248"/>
      <c r="G73" s="248"/>
    </row>
    <row r="74" spans="2:21">
      <c r="F74" s="248"/>
      <c r="G74" s="248"/>
      <c r="H74" s="239"/>
    </row>
    <row r="78" spans="2:21">
      <c r="D78" s="221"/>
    </row>
    <row r="80" spans="2:21">
      <c r="C80" s="168"/>
      <c r="F80" s="168"/>
      <c r="I80" s="168"/>
      <c r="L80" s="168"/>
    </row>
    <row r="81" spans="4:12">
      <c r="J81" s="249"/>
    </row>
    <row r="83" spans="4:12">
      <c r="L83" s="217"/>
    </row>
    <row r="85" spans="4:12">
      <c r="G85" s="249"/>
    </row>
    <row r="89" spans="4:12">
      <c r="D89" s="249"/>
      <c r="J89" s="249"/>
    </row>
    <row r="91" spans="4:12">
      <c r="L91" s="217"/>
    </row>
    <row r="93" spans="4:12">
      <c r="G93" s="249"/>
    </row>
    <row r="97" spans="10:12">
      <c r="J97" s="249"/>
    </row>
    <row r="99" spans="10:12">
      <c r="L99" s="217"/>
    </row>
  </sheetData>
  <pageMargins left="0.7" right="0.7" top="0.75" bottom="0.75" header="0.3" footer="0.3"/>
  <pageSetup paperSize="9"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75B0B-ADA1-48F6-9B77-12F5D51CD386}">
  <sheetPr>
    <tabColor rgb="FFFFFF00"/>
  </sheetPr>
  <dimension ref="A1:M26"/>
  <sheetViews>
    <sheetView zoomScale="55" zoomScaleNormal="55" workbookViewId="0">
      <selection activeCell="G27" sqref="G27"/>
    </sheetView>
  </sheetViews>
  <sheetFormatPr defaultRowHeight="28.5"/>
  <cols>
    <col min="1" max="1" width="12.73046875" customWidth="1"/>
    <col min="2" max="2" width="11.796875" customWidth="1"/>
    <col min="3" max="3" width="10.19921875" bestFit="1" customWidth="1"/>
    <col min="4" max="4" width="16.33203125" bestFit="1" customWidth="1"/>
    <col min="5" max="5" width="14.33203125" bestFit="1" customWidth="1"/>
    <col min="6" max="6" width="11.59765625" bestFit="1" customWidth="1"/>
    <col min="7" max="7" width="9.59765625" bestFit="1" customWidth="1"/>
    <col min="8" max="8" width="16.06640625" customWidth="1"/>
    <col min="9" max="9" width="10.06640625" bestFit="1" customWidth="1"/>
    <col min="10" max="10" width="13.265625" bestFit="1" customWidth="1"/>
    <col min="11" max="11" width="11.9296875" bestFit="1" customWidth="1"/>
  </cols>
  <sheetData>
    <row r="1" spans="1:13">
      <c r="H1" s="64"/>
    </row>
    <row r="2" spans="1:13">
      <c r="A2" s="66" t="s">
        <v>224</v>
      </c>
      <c r="B2" s="21" t="s">
        <v>225</v>
      </c>
      <c r="E2" t="s">
        <v>226</v>
      </c>
      <c r="F2" s="3">
        <v>3.7499999999999999E-2</v>
      </c>
      <c r="H2" s="37"/>
      <c r="I2" s="19" t="s">
        <v>82</v>
      </c>
      <c r="J2" s="127" t="s">
        <v>227</v>
      </c>
      <c r="K2" s="128" t="s">
        <v>228</v>
      </c>
    </row>
    <row r="3" spans="1:13">
      <c r="B3" s="8" t="s">
        <v>48</v>
      </c>
      <c r="C3" s="8" t="s">
        <v>82</v>
      </c>
      <c r="E3" t="s">
        <v>229</v>
      </c>
      <c r="F3" s="27">
        <v>100</v>
      </c>
      <c r="H3" s="65"/>
      <c r="I3" s="129">
        <v>3.1E-2</v>
      </c>
      <c r="J3" s="130">
        <f>-PV(I3,$F$4,$F$2*100,100)</f>
        <v>101.24195525517869</v>
      </c>
      <c r="K3" s="131">
        <f t="shared" ref="K3:K25" si="0">-PV(I3,$F$12,$F$2*100,100)</f>
        <v>100.63045586808923</v>
      </c>
    </row>
    <row r="4" spans="1:13">
      <c r="B4" s="4">
        <v>1</v>
      </c>
      <c r="C4" s="9">
        <f>'Bond valn using zeros'!C8</f>
        <v>4.4259482289524636E-2</v>
      </c>
      <c r="E4" s="48" t="s">
        <v>135</v>
      </c>
      <c r="F4" s="48">
        <v>2</v>
      </c>
      <c r="I4" s="129">
        <v>3.2000000000000001E-2</v>
      </c>
      <c r="J4" s="130">
        <f t="shared" ref="J4:J5" si="1">-PV(I4,$F$4,$F$2*100,100)</f>
        <v>101.04936602367646</v>
      </c>
      <c r="K4" s="131">
        <f t="shared" si="0"/>
        <v>100.5329457364341</v>
      </c>
    </row>
    <row r="5" spans="1:13">
      <c r="B5" s="4">
        <v>2</v>
      </c>
      <c r="C5" s="9">
        <f>'Bond valn using zeros'!F11</f>
        <v>0</v>
      </c>
      <c r="E5" t="s">
        <v>230</v>
      </c>
      <c r="F5" s="67">
        <f>-PV(C5,F4,F2*F3,100)</f>
        <v>107.5</v>
      </c>
      <c r="I5" s="129">
        <v>3.3000000000000002E-2</v>
      </c>
      <c r="J5" s="130">
        <f t="shared" si="1"/>
        <v>100.857332424943</v>
      </c>
      <c r="K5" s="131">
        <f t="shared" si="0"/>
        <v>100.43562439496611</v>
      </c>
    </row>
    <row r="6" spans="1:13">
      <c r="B6" s="39" t="s">
        <v>231</v>
      </c>
      <c r="C6" s="9">
        <v>4.3999999999999997E-2</v>
      </c>
      <c r="F6" s="27"/>
      <c r="I6" s="129">
        <v>3.4000000000000002E-2</v>
      </c>
      <c r="J6" s="130">
        <f t="shared" ref="J6:J12" si="2">-PV(I6,$F$4,$F$2*100,100)</f>
        <v>100.66585231715484</v>
      </c>
      <c r="K6" s="131">
        <f t="shared" si="0"/>
        <v>100.3384912959381</v>
      </c>
    </row>
    <row r="7" spans="1:13">
      <c r="B7" s="39"/>
      <c r="C7" s="9"/>
      <c r="F7" s="27"/>
      <c r="I7" s="129">
        <v>3.5000000000000003E-2</v>
      </c>
      <c r="J7" s="130">
        <f t="shared" si="2"/>
        <v>100.47492356881141</v>
      </c>
      <c r="K7" s="131">
        <f t="shared" si="0"/>
        <v>100.2415458937198</v>
      </c>
    </row>
    <row r="8" spans="1:13">
      <c r="I8" s="129">
        <v>3.5999999999999997E-2</v>
      </c>
      <c r="J8" s="130">
        <f t="shared" si="2"/>
        <v>100.28454405867534</v>
      </c>
      <c r="K8" s="131">
        <f t="shared" si="0"/>
        <v>100.14478764478764</v>
      </c>
      <c r="M8" s="68"/>
    </row>
    <row r="9" spans="1:13">
      <c r="A9" s="66" t="s">
        <v>232</v>
      </c>
      <c r="B9" s="21" t="s">
        <v>233</v>
      </c>
      <c r="H9" s="65"/>
      <c r="I9" s="129">
        <v>3.6999999999999998E-2</v>
      </c>
      <c r="J9" s="130">
        <f t="shared" si="2"/>
        <v>100.09471167571317</v>
      </c>
      <c r="K9" s="131">
        <f t="shared" si="0"/>
        <v>100.04821600771456</v>
      </c>
      <c r="M9" s="65"/>
    </row>
    <row r="10" spans="1:13">
      <c r="B10" s="8"/>
      <c r="C10" s="8" t="s">
        <v>82</v>
      </c>
      <c r="E10" t="s">
        <v>226</v>
      </c>
      <c r="F10" s="3">
        <f>F2</f>
        <v>3.7499999999999999E-2</v>
      </c>
      <c r="H10" s="65"/>
      <c r="I10" s="129">
        <v>3.7999999999999999E-2</v>
      </c>
      <c r="J10" s="130">
        <f t="shared" si="2"/>
        <v>99.905424319036541</v>
      </c>
      <c r="K10" s="131">
        <f t="shared" si="0"/>
        <v>99.95183044315992</v>
      </c>
    </row>
    <row r="11" spans="1:13">
      <c r="B11" s="39">
        <v>1</v>
      </c>
      <c r="C11" s="9">
        <f>C4</f>
        <v>4.4259482289524636E-2</v>
      </c>
      <c r="E11" t="s">
        <v>229</v>
      </c>
      <c r="F11" s="27">
        <v>100</v>
      </c>
      <c r="H11" s="37"/>
      <c r="I11" s="129">
        <v>3.9E-2</v>
      </c>
      <c r="J11" s="130">
        <f t="shared" si="2"/>
        <v>99.716679897843591</v>
      </c>
      <c r="K11" s="131">
        <f t="shared" si="0"/>
        <v>99.855630413859473</v>
      </c>
    </row>
    <row r="12" spans="1:13">
      <c r="E12" s="48" t="s">
        <v>135</v>
      </c>
      <c r="F12" s="48">
        <v>1</v>
      </c>
      <c r="H12" s="37"/>
      <c r="I12" s="129">
        <f>C5</f>
        <v>0</v>
      </c>
      <c r="J12" s="132">
        <f t="shared" si="2"/>
        <v>107.5</v>
      </c>
      <c r="K12" s="133">
        <f t="shared" si="0"/>
        <v>103.75</v>
      </c>
    </row>
    <row r="13" spans="1:13">
      <c r="E13" t="s">
        <v>230</v>
      </c>
      <c r="F13" s="67">
        <f>-PV(C11,F12,F10*F11,100)</f>
        <v>99.352700894350079</v>
      </c>
      <c r="G13" t="s">
        <v>234</v>
      </c>
      <c r="H13" s="65"/>
      <c r="I13" s="129">
        <v>4.1000000000000002E-2</v>
      </c>
      <c r="J13" s="130">
        <f t="shared" ref="J13:J25" si="3">-PV(I13,$F$4,$F$2*100,100)</f>
        <v>99.340811548786036</v>
      </c>
      <c r="K13" s="131">
        <f t="shared" si="0"/>
        <v>99.663784822286274</v>
      </c>
    </row>
    <row r="14" spans="1:13">
      <c r="H14" s="65"/>
      <c r="I14" s="129">
        <v>4.2000000000000003E-2</v>
      </c>
      <c r="J14" s="130">
        <f t="shared" si="3"/>
        <v>99.153683489229707</v>
      </c>
      <c r="K14" s="131">
        <f t="shared" si="0"/>
        <v>99.568138195777351</v>
      </c>
      <c r="M14" s="47"/>
    </row>
    <row r="15" spans="1:13">
      <c r="D15" s="21" t="s">
        <v>235</v>
      </c>
      <c r="E15" t="s">
        <v>236</v>
      </c>
      <c r="F15" s="69"/>
      <c r="H15" s="47"/>
      <c r="I15" s="129">
        <f>C4</f>
        <v>4.4259482289524636E-2</v>
      </c>
      <c r="J15" s="130">
        <f t="shared" si="3"/>
        <v>98.732836658853032</v>
      </c>
      <c r="K15" s="134">
        <f t="shared" si="0"/>
        <v>99.352700894350079</v>
      </c>
      <c r="M15" s="47"/>
    </row>
    <row r="16" spans="1:13">
      <c r="E16" t="s">
        <v>237</v>
      </c>
      <c r="F16" s="70"/>
      <c r="H16" s="47"/>
      <c r="I16" s="129">
        <v>4.3999999999999997E-2</v>
      </c>
      <c r="J16" s="130">
        <f t="shared" si="3"/>
        <v>98.781029344842267</v>
      </c>
      <c r="K16" s="131">
        <f t="shared" si="0"/>
        <v>99.377394636015325</v>
      </c>
    </row>
    <row r="17" spans="4:13">
      <c r="E17" s="48" t="s">
        <v>238</v>
      </c>
      <c r="F17" s="72"/>
      <c r="H17" s="46"/>
      <c r="I17" s="129">
        <v>4.4999999999999998E-2</v>
      </c>
      <c r="J17" s="130">
        <f t="shared" si="3"/>
        <v>98.595499187289676</v>
      </c>
      <c r="K17" s="131">
        <f t="shared" si="0"/>
        <v>99.282296650717711</v>
      </c>
    </row>
    <row r="18" spans="4:13">
      <c r="E18" t="s">
        <v>239</v>
      </c>
      <c r="F18" s="63"/>
      <c r="G18" t="s">
        <v>240</v>
      </c>
      <c r="H18" s="46"/>
      <c r="I18" s="129">
        <v>4.5999999999999999E-2</v>
      </c>
      <c r="J18" s="130">
        <f t="shared" si="3"/>
        <v>98.41049760720071</v>
      </c>
      <c r="K18" s="131">
        <f t="shared" si="0"/>
        <v>99.187380497131926</v>
      </c>
    </row>
    <row r="19" spans="4:13">
      <c r="E19" t="s">
        <v>241</v>
      </c>
      <c r="F19" s="28"/>
      <c r="H19" s="46"/>
      <c r="I19" s="129">
        <v>4.7E-2</v>
      </c>
      <c r="J19" s="130">
        <f t="shared" si="3"/>
        <v>98.226022592407105</v>
      </c>
      <c r="K19" s="131">
        <f t="shared" si="0"/>
        <v>99.092645654250248</v>
      </c>
      <c r="M19" s="50"/>
    </row>
    <row r="20" spans="4:13">
      <c r="H20" s="50"/>
      <c r="I20" s="129">
        <v>4.8000000000000001E-2</v>
      </c>
      <c r="J20" s="130">
        <f t="shared" si="3"/>
        <v>98.042072140318155</v>
      </c>
      <c r="K20" s="131">
        <f t="shared" si="0"/>
        <v>98.998091603053425</v>
      </c>
    </row>
    <row r="21" spans="4:13">
      <c r="D21" s="21" t="s">
        <v>242</v>
      </c>
      <c r="E21" t="s">
        <v>243</v>
      </c>
      <c r="F21" s="28"/>
      <c r="G21" s="46"/>
      <c r="I21" s="129">
        <v>4.9000000000000002E-2</v>
      </c>
      <c r="J21" s="130">
        <f t="shared" si="3"/>
        <v>97.858644257866004</v>
      </c>
      <c r="K21" s="131">
        <f t="shared" si="0"/>
        <v>98.903717826501435</v>
      </c>
    </row>
    <row r="22" spans="4:13">
      <c r="E22" t="s">
        <v>244</v>
      </c>
      <c r="F22" s="73"/>
      <c r="G22" s="46"/>
      <c r="I22" s="129">
        <v>0.05</v>
      </c>
      <c r="J22" s="130">
        <f t="shared" si="3"/>
        <v>97.67573696145125</v>
      </c>
      <c r="K22" s="131">
        <f t="shared" si="0"/>
        <v>98.80952380952381</v>
      </c>
    </row>
    <row r="23" spans="4:13">
      <c r="E23" t="s">
        <v>245</v>
      </c>
      <c r="F23" s="28"/>
      <c r="G23" s="46"/>
      <c r="I23" s="129">
        <v>5.0999999999999997E-2</v>
      </c>
      <c r="J23" s="130">
        <f t="shared" si="3"/>
        <v>97.493348276889122</v>
      </c>
      <c r="K23" s="131">
        <f t="shared" si="0"/>
        <v>98.71550903901047</v>
      </c>
    </row>
    <row r="24" spans="4:13">
      <c r="E24" t="s">
        <v>246</v>
      </c>
      <c r="F24" s="71"/>
      <c r="G24" s="36">
        <f>F24-F22</f>
        <v>0</v>
      </c>
      <c r="I24" s="129">
        <v>5.1999999999999998E-2</v>
      </c>
      <c r="J24" s="130">
        <f t="shared" si="3"/>
        <v>97.31147623935577</v>
      </c>
      <c r="K24" s="131">
        <f t="shared" si="0"/>
        <v>98.621673003802272</v>
      </c>
    </row>
    <row r="25" spans="4:13">
      <c r="E25" s="48" t="s">
        <v>247</v>
      </c>
      <c r="F25" s="74"/>
      <c r="I25" s="129">
        <v>5.2999999999999999E-2</v>
      </c>
      <c r="J25" s="130">
        <f t="shared" si="3"/>
        <v>97.130118893335094</v>
      </c>
      <c r="K25" s="131">
        <f t="shared" si="0"/>
        <v>98.528015194681871</v>
      </c>
    </row>
    <row r="26" spans="4:13">
      <c r="E26" t="s">
        <v>248</v>
      </c>
      <c r="F26" s="75"/>
    </row>
  </sheetData>
  <pageMargins left="0.7" right="0.7" top="0.75" bottom="0.75" header="0.3" footer="0.3"/>
  <drawing r:id="rId1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1BA4EC-BF85-453E-974A-9B1E71169A41}">
  <sheetPr>
    <tabColor rgb="FF7030A0"/>
    <pageSetUpPr fitToPage="1"/>
  </sheetPr>
  <dimension ref="A1:I84"/>
  <sheetViews>
    <sheetView tabSelected="1" zoomScale="70" zoomScaleNormal="70" workbookViewId="0">
      <selection activeCell="D29" sqref="D29"/>
    </sheetView>
  </sheetViews>
  <sheetFormatPr defaultColWidth="14.796875" defaultRowHeight="26.25"/>
  <cols>
    <col min="1" max="1" width="9.1328125" style="346" customWidth="1"/>
    <col min="2" max="2" width="32.1328125" style="346" customWidth="1"/>
    <col min="3" max="3" width="15.6640625" style="357" bestFit="1" customWidth="1"/>
    <col min="4" max="4" width="19.46484375" style="357" customWidth="1"/>
    <col min="5" max="5" width="18.9296875" style="346" customWidth="1"/>
    <col min="6" max="16384" width="14.796875" style="346"/>
  </cols>
  <sheetData>
    <row r="1" spans="1:8">
      <c r="A1" s="344" t="s">
        <v>249</v>
      </c>
      <c r="B1" s="345"/>
      <c r="C1" s="345"/>
      <c r="D1" s="345"/>
      <c r="E1" s="345"/>
    </row>
    <row r="3" spans="1:8">
      <c r="B3" s="347" t="s">
        <v>250</v>
      </c>
      <c r="C3" s="348" t="s">
        <v>251</v>
      </c>
      <c r="D3" s="349" t="s">
        <v>252</v>
      </c>
      <c r="E3" s="348" t="s">
        <v>253</v>
      </c>
    </row>
    <row r="4" spans="1:8">
      <c r="B4" s="350">
        <v>2</v>
      </c>
      <c r="C4" s="351">
        <v>4.0899999999999999E-2</v>
      </c>
      <c r="D4" s="352">
        <v>5.0000000000000001E-3</v>
      </c>
      <c r="E4" s="351">
        <f t="shared" ref="E4:E5" si="0">C4+D4</f>
        <v>4.5899999999999996E-2</v>
      </c>
    </row>
    <row r="5" spans="1:8">
      <c r="B5" s="350">
        <v>5</v>
      </c>
      <c r="C5" s="351">
        <v>3.95E-2</v>
      </c>
      <c r="D5" s="352">
        <v>0.01</v>
      </c>
      <c r="E5" s="351">
        <f t="shared" si="0"/>
        <v>4.9500000000000002E-2</v>
      </c>
    </row>
    <row r="6" spans="1:8">
      <c r="B6" s="350">
        <v>10</v>
      </c>
      <c r="C6" s="351">
        <v>3.2500000000000001E-2</v>
      </c>
      <c r="D6" s="352">
        <v>0.01</v>
      </c>
      <c r="E6" s="351">
        <f>C6+D6</f>
        <v>4.2500000000000003E-2</v>
      </c>
    </row>
    <row r="7" spans="1:8">
      <c r="B7" s="347" t="s">
        <v>254</v>
      </c>
      <c r="C7" s="353">
        <f>C6-C4</f>
        <v>-8.3999999999999977E-3</v>
      </c>
      <c r="D7" s="349"/>
      <c r="E7" s="353">
        <f>E6-E4</f>
        <v>-3.3999999999999933E-3</v>
      </c>
    </row>
    <row r="8" spans="1:8">
      <c r="B8" s="347" t="s">
        <v>255</v>
      </c>
      <c r="C8" s="354">
        <f>-C4+2*C5-C6</f>
        <v>5.6000000000000008E-3</v>
      </c>
      <c r="D8" s="355"/>
      <c r="E8" s="354">
        <f>-E4+2*E5-E6</f>
        <v>1.0600000000000005E-2</v>
      </c>
    </row>
    <row r="10" spans="1:8">
      <c r="B10" s="356" t="s">
        <v>256</v>
      </c>
    </row>
    <row r="11" spans="1:8">
      <c r="B11" s="356" t="s">
        <v>257</v>
      </c>
    </row>
    <row r="13" spans="1:8">
      <c r="A13" s="344" t="s">
        <v>258</v>
      </c>
      <c r="B13" s="345"/>
      <c r="C13" s="345"/>
      <c r="D13" s="345"/>
      <c r="E13" s="345"/>
      <c r="H13" s="358"/>
    </row>
    <row r="14" spans="1:8">
      <c r="H14" s="358"/>
    </row>
    <row r="15" spans="1:8">
      <c r="C15" s="349" t="s">
        <v>259</v>
      </c>
      <c r="D15" s="349" t="s">
        <v>260</v>
      </c>
      <c r="E15" s="349" t="s">
        <v>261</v>
      </c>
    </row>
    <row r="16" spans="1:8">
      <c r="B16" s="346" t="s">
        <v>262</v>
      </c>
      <c r="C16" s="359">
        <v>2</v>
      </c>
      <c r="D16" s="359">
        <v>5</v>
      </c>
      <c r="E16" s="359">
        <v>10</v>
      </c>
    </row>
    <row r="17" spans="1:9">
      <c r="B17" s="346" t="s">
        <v>263</v>
      </c>
      <c r="C17" s="351">
        <v>4.0899999999999999E-2</v>
      </c>
      <c r="D17" s="351">
        <f>C5</f>
        <v>3.95E-2</v>
      </c>
      <c r="E17" s="351">
        <v>2.2499999999999999E-2</v>
      </c>
    </row>
    <row r="18" spans="1:9">
      <c r="B18" s="346" t="s">
        <v>136</v>
      </c>
      <c r="C18" s="351">
        <f>C4</f>
        <v>4.0899999999999999E-2</v>
      </c>
      <c r="D18" s="351">
        <f>C5</f>
        <v>3.95E-2</v>
      </c>
      <c r="E18" s="351">
        <v>0.03</v>
      </c>
    </row>
    <row r="19" spans="1:9">
      <c r="B19" s="346" t="s">
        <v>264</v>
      </c>
      <c r="C19" s="360">
        <f>-PV(C18,C16,C17*100,100)</f>
        <v>100</v>
      </c>
      <c r="D19" s="360">
        <f>-PV(D18,D16,D17*100,100)</f>
        <v>100</v>
      </c>
      <c r="E19" s="360">
        <f>-PV(E18,E16,E17*100,100)</f>
        <v>93.602347872418136</v>
      </c>
    </row>
    <row r="20" spans="1:9">
      <c r="B20" s="346" t="s">
        <v>265</v>
      </c>
      <c r="C20" s="360">
        <f>-PV((C18+0.01%)/2,C16*2,C17*50,100)</f>
        <v>99.98098443467336</v>
      </c>
      <c r="D20" s="360">
        <f>-PV((D18+0.01%)/2,D16*2,D17*50,100)</f>
        <v>99.955040040909026</v>
      </c>
      <c r="E20" s="360">
        <f>-PV((E18+0.01%),E16,E17*100,100)</f>
        <v>93.520353096819491</v>
      </c>
    </row>
    <row r="21" spans="1:9">
      <c r="B21" s="347" t="s">
        <v>266</v>
      </c>
      <c r="C21" s="361">
        <f>C19-C20</f>
        <v>1.9015565326640171E-2</v>
      </c>
      <c r="D21" s="361">
        <f>D19-D20</f>
        <v>4.4959959090974166E-2</v>
      </c>
      <c r="E21" s="361">
        <f>E19-E20</f>
        <v>8.1994775598644765E-2</v>
      </c>
    </row>
    <row r="23" spans="1:9">
      <c r="A23" s="344" t="s">
        <v>267</v>
      </c>
      <c r="B23" s="345"/>
      <c r="C23" s="345"/>
      <c r="D23" s="345"/>
      <c r="E23" s="345"/>
    </row>
    <row r="25" spans="1:9">
      <c r="B25" s="346" t="s">
        <v>268</v>
      </c>
      <c r="C25" s="362">
        <v>10000</v>
      </c>
      <c r="D25" s="362">
        <v>10000</v>
      </c>
      <c r="E25" s="362">
        <v>0</v>
      </c>
    </row>
    <row r="26" spans="1:9">
      <c r="C26" s="346"/>
    </row>
    <row r="27" spans="1:9">
      <c r="C27" s="349" t="s">
        <v>259</v>
      </c>
      <c r="D27" s="349" t="s">
        <v>260</v>
      </c>
      <c r="E27" s="349" t="s">
        <v>261</v>
      </c>
    </row>
    <row r="28" spans="1:9">
      <c r="B28" s="346" t="s">
        <v>269</v>
      </c>
      <c r="C28" s="363" t="s">
        <v>270</v>
      </c>
      <c r="D28" s="363" t="s">
        <v>270</v>
      </c>
      <c r="E28" s="363" t="s">
        <v>271</v>
      </c>
      <c r="F28" s="356"/>
    </row>
    <row r="29" spans="1:9">
      <c r="B29" s="346" t="s">
        <v>272</v>
      </c>
      <c r="C29" s="363" t="s">
        <v>273</v>
      </c>
      <c r="D29" s="363" t="s">
        <v>274</v>
      </c>
      <c r="E29" s="363" t="s">
        <v>273</v>
      </c>
      <c r="F29" s="356"/>
    </row>
    <row r="30" spans="1:9">
      <c r="B30" s="346" t="s">
        <v>275</v>
      </c>
      <c r="C30" s="359">
        <f>IF(C29="Long",1,IF(C29="Short",-1,0))</f>
        <v>-1</v>
      </c>
      <c r="D30" s="359">
        <f>IF(D29="Long",1,IF(D29="Short",-1,0))</f>
        <v>1</v>
      </c>
      <c r="E30" s="359">
        <f>IF(E29="Long",1,IF(E29="Short",-1,0))</f>
        <v>-1</v>
      </c>
      <c r="F30" s="356"/>
    </row>
    <row r="31" spans="1:9">
      <c r="C31" s="359"/>
      <c r="D31" s="359"/>
      <c r="E31" s="359"/>
      <c r="F31" s="359" t="s">
        <v>276</v>
      </c>
      <c r="G31" s="364" t="s">
        <v>277</v>
      </c>
    </row>
    <row r="32" spans="1:9">
      <c r="B32" s="346" t="s">
        <v>74</v>
      </c>
      <c r="C32" s="365">
        <f>IF(C28="Y",C30*C25/(C21/100),0)</f>
        <v>-52588496.99298887</v>
      </c>
      <c r="D32" s="365">
        <f>IF(D28="Y",D30*D25/(D21/100),0)</f>
        <v>22242013.120531347</v>
      </c>
      <c r="E32" s="365">
        <f>IF(E28="Y",E30*E25/(E21/100),0)</f>
        <v>0</v>
      </c>
      <c r="F32" s="357"/>
      <c r="G32" s="357"/>
      <c r="H32" s="357"/>
      <c r="I32" s="357"/>
    </row>
    <row r="33" spans="1:9">
      <c r="B33" s="346" t="s">
        <v>278</v>
      </c>
      <c r="C33" s="366">
        <f>C32*C19/100</f>
        <v>-52588496.99298887</v>
      </c>
      <c r="D33" s="366">
        <f>D32*D19/100</f>
        <v>22242013.120531343</v>
      </c>
      <c r="E33" s="366">
        <f>E32*E19/100</f>
        <v>0</v>
      </c>
      <c r="F33" s="366">
        <f>SUM(C33:E33)</f>
        <v>-30346483.872457527</v>
      </c>
      <c r="G33" s="367"/>
    </row>
    <row r="34" spans="1:9">
      <c r="B34" s="346" t="s">
        <v>279</v>
      </c>
      <c r="C34" s="366">
        <f>C32*-C21/100</f>
        <v>10000.000000000002</v>
      </c>
      <c r="D34" s="366">
        <f>D32*-D21/100</f>
        <v>-10000</v>
      </c>
      <c r="E34" s="366">
        <f>E32*-E21/100</f>
        <v>0</v>
      </c>
      <c r="F34" s="359">
        <f>SUM(C34:E34)</f>
        <v>1.8189894035458565E-12</v>
      </c>
      <c r="G34" s="356" t="s">
        <v>280</v>
      </c>
    </row>
    <row r="35" spans="1:9">
      <c r="B35" s="346" t="s">
        <v>281</v>
      </c>
      <c r="C35" s="351">
        <f>E4</f>
        <v>4.5899999999999996E-2</v>
      </c>
      <c r="D35" s="368">
        <f>E5</f>
        <v>4.9500000000000002E-2</v>
      </c>
      <c r="E35" s="368">
        <f>E6</f>
        <v>4.2500000000000003E-2</v>
      </c>
      <c r="H35" s="369"/>
      <c r="I35" s="369"/>
    </row>
    <row r="36" spans="1:9" ht="27" thickBot="1">
      <c r="B36" s="346" t="s">
        <v>282</v>
      </c>
      <c r="C36" s="360">
        <f>-PV($C$35,$C$16,$C$17*100,100)</f>
        <v>99.064865498003442</v>
      </c>
      <c r="D36" s="360">
        <f>-PV($D$35,$D$16,$D$17*100,100)</f>
        <v>95.664532787455201</v>
      </c>
      <c r="E36" s="360">
        <f>-PV($E$35,$E$16,$E$17*100,100)</f>
        <v>83.978225991523686</v>
      </c>
    </row>
    <row r="37" spans="1:9" ht="27" thickBot="1">
      <c r="B37" s="346" t="s">
        <v>283</v>
      </c>
      <c r="C37" s="365">
        <f>C32*(C36-C19)/100</f>
        <v>491773.17946286121</v>
      </c>
      <c r="D37" s="365">
        <f>D32*(D36-D19)/100</f>
        <v>-964295.18625054881</v>
      </c>
      <c r="E37" s="365">
        <f>E32*(E36-E19)/100</f>
        <v>0</v>
      </c>
      <c r="F37" s="370">
        <f>SUM(C37:E37)</f>
        <v>-472522.0067876876</v>
      </c>
    </row>
    <row r="38" spans="1:9">
      <c r="B38" s="346" t="s">
        <v>284</v>
      </c>
      <c r="C38" s="368">
        <f>C35-C18</f>
        <v>4.9999999999999975E-3</v>
      </c>
      <c r="D38" s="368">
        <f>D35-D18</f>
        <v>1.0000000000000002E-2</v>
      </c>
      <c r="E38" s="368">
        <f>E35-E18</f>
        <v>1.2500000000000004E-2</v>
      </c>
      <c r="F38" s="359"/>
    </row>
    <row r="39" spans="1:9">
      <c r="B39" s="346" t="s">
        <v>285</v>
      </c>
      <c r="C39" s="366">
        <f>C34*C38/0.0001</f>
        <v>499999.99999999983</v>
      </c>
      <c r="D39" s="366">
        <f>D34*D38/0.0001</f>
        <v>-1000000.0000000001</v>
      </c>
      <c r="E39" s="366">
        <f>E34*E38/0.0001</f>
        <v>0</v>
      </c>
      <c r="F39" s="366">
        <f>SUM(C39:E39)</f>
        <v>-500000.00000000029</v>
      </c>
      <c r="G39" s="367" t="s">
        <v>286</v>
      </c>
    </row>
    <row r="40" spans="1:9">
      <c r="B40" s="346" t="s">
        <v>287</v>
      </c>
      <c r="C40" s="366">
        <f>C37-C39</f>
        <v>-8226.8205371386139</v>
      </c>
      <c r="D40" s="366">
        <f>D37-D39</f>
        <v>35704.813749451307</v>
      </c>
      <c r="E40" s="366">
        <f>E37-E39</f>
        <v>0</v>
      </c>
      <c r="F40" s="366">
        <f>SUM(C40:E40)</f>
        <v>27477.993212312693</v>
      </c>
      <c r="G40" s="367" t="s">
        <v>288</v>
      </c>
    </row>
    <row r="41" spans="1:9">
      <c r="C41" s="359"/>
      <c r="D41" s="359"/>
      <c r="E41" s="359"/>
    </row>
    <row r="42" spans="1:9">
      <c r="C42" s="359"/>
      <c r="D42" s="359"/>
      <c r="E42" s="359"/>
    </row>
    <row r="43" spans="1:9">
      <c r="A43" s="344" t="s">
        <v>289</v>
      </c>
      <c r="B43" s="345"/>
      <c r="C43" s="345"/>
      <c r="D43" s="345"/>
      <c r="E43" s="345"/>
    </row>
    <row r="44" spans="1:9">
      <c r="C44" s="359"/>
      <c r="D44" s="359"/>
      <c r="E44" s="359"/>
    </row>
    <row r="45" spans="1:9">
      <c r="B45" s="347" t="s">
        <v>290</v>
      </c>
      <c r="C45" s="359"/>
      <c r="D45" s="359"/>
      <c r="E45" s="359"/>
    </row>
    <row r="46" spans="1:9">
      <c r="B46" s="346" t="s">
        <v>291</v>
      </c>
      <c r="C46" s="368">
        <f>E7-C7</f>
        <v>5.0000000000000044E-3</v>
      </c>
      <c r="D46" s="367" t="s">
        <v>292</v>
      </c>
      <c r="E46" s="359"/>
    </row>
    <row r="47" spans="1:9">
      <c r="B47" s="346" t="s">
        <v>293</v>
      </c>
      <c r="C47" s="371">
        <f>C25</f>
        <v>10000</v>
      </c>
      <c r="D47" s="359"/>
      <c r="E47" s="359"/>
    </row>
    <row r="48" spans="1:9">
      <c r="B48" s="346" t="s">
        <v>285</v>
      </c>
      <c r="C48" s="365">
        <f>C46*C47/0.0001</f>
        <v>500000.00000000041</v>
      </c>
      <c r="D48" s="359"/>
      <c r="E48" s="359"/>
    </row>
    <row r="49" spans="1:7">
      <c r="C49" s="359"/>
      <c r="D49" s="359"/>
      <c r="E49" s="359"/>
    </row>
    <row r="50" spans="1:7">
      <c r="B50" s="347" t="s">
        <v>294</v>
      </c>
      <c r="C50" s="359"/>
      <c r="D50" s="359"/>
      <c r="E50" s="359"/>
    </row>
    <row r="51" spans="1:7">
      <c r="B51" s="346" t="s">
        <v>291</v>
      </c>
      <c r="C51" s="368">
        <f>E8-C8</f>
        <v>5.0000000000000044E-3</v>
      </c>
      <c r="D51" s="367" t="s">
        <v>295</v>
      </c>
      <c r="E51" s="359"/>
    </row>
    <row r="52" spans="1:7">
      <c r="B52" s="346" t="s">
        <v>296</v>
      </c>
      <c r="C52" s="371"/>
      <c r="D52" s="359"/>
      <c r="E52" s="359"/>
    </row>
    <row r="53" spans="1:7">
      <c r="B53" s="346" t="s">
        <v>285</v>
      </c>
      <c r="C53" s="365"/>
      <c r="D53" s="359"/>
      <c r="E53" s="359"/>
    </row>
    <row r="54" spans="1:7">
      <c r="C54" s="359"/>
      <c r="D54" s="359"/>
      <c r="E54" s="359"/>
    </row>
    <row r="55" spans="1:7">
      <c r="C55" s="359"/>
      <c r="D55" s="359"/>
      <c r="E55" s="359"/>
    </row>
    <row r="56" spans="1:7">
      <c r="A56" s="344" t="s">
        <v>297</v>
      </c>
      <c r="B56" s="345"/>
      <c r="C56" s="345"/>
      <c r="D56" s="345"/>
      <c r="E56" s="345"/>
    </row>
    <row r="57" spans="1:7">
      <c r="C57" s="359"/>
      <c r="D57" s="359"/>
      <c r="E57" s="359"/>
    </row>
    <row r="58" spans="1:7">
      <c r="B58" s="346" t="s">
        <v>298</v>
      </c>
      <c r="C58" s="372">
        <v>2.5000000000000001E-3</v>
      </c>
      <c r="D58" s="359"/>
      <c r="E58" s="359"/>
    </row>
    <row r="59" spans="1:7">
      <c r="C59" s="359"/>
      <c r="D59" s="359"/>
      <c r="E59" s="359"/>
    </row>
    <row r="60" spans="1:7">
      <c r="C60" s="349" t="s">
        <v>299</v>
      </c>
      <c r="D60" s="349" t="s">
        <v>300</v>
      </c>
      <c r="E60" s="349" t="s">
        <v>301</v>
      </c>
      <c r="F60" s="349" t="s">
        <v>276</v>
      </c>
    </row>
    <row r="61" spans="1:7">
      <c r="B61" s="346" t="s">
        <v>302</v>
      </c>
      <c r="C61" s="366">
        <f>-C33</f>
        <v>52588496.99298887</v>
      </c>
      <c r="D61" s="366">
        <f>-D33</f>
        <v>-22242013.120531343</v>
      </c>
      <c r="E61" s="366">
        <f>-E33</f>
        <v>0</v>
      </c>
      <c r="F61" s="366">
        <f>SUM(C61:E61)</f>
        <v>30346483.872457527</v>
      </c>
      <c r="G61" s="367" t="s">
        <v>303</v>
      </c>
    </row>
    <row r="62" spans="1:7">
      <c r="B62" s="346" t="s">
        <v>304</v>
      </c>
      <c r="C62" s="360">
        <f>-PV($C$18,$C$16-1,$C$17*100,100)</f>
        <v>100</v>
      </c>
      <c r="D62" s="360">
        <f>-PV($D$18,$D$16-1,$D$17*100,100)</f>
        <v>100</v>
      </c>
      <c r="E62" s="360">
        <f>-PV($E$18,$E$16-1,$E$17*100,100)</f>
        <v>94.160418308590678</v>
      </c>
      <c r="F62" s="350"/>
      <c r="G62" s="367" t="s">
        <v>305</v>
      </c>
    </row>
    <row r="63" spans="1:7">
      <c r="B63" s="346" t="s">
        <v>306</v>
      </c>
      <c r="C63" s="366">
        <f>C32*(C62-C19)%</f>
        <v>0</v>
      </c>
      <c r="D63" s="366">
        <f>D32*(D62-D19)%</f>
        <v>0</v>
      </c>
      <c r="E63" s="366">
        <f>E32*(E62-E19)%</f>
        <v>0</v>
      </c>
      <c r="F63" s="366">
        <f>SUM(C63:E63)</f>
        <v>0</v>
      </c>
      <c r="G63" s="367"/>
    </row>
    <row r="64" spans="1:7">
      <c r="B64" s="346" t="s">
        <v>307</v>
      </c>
      <c r="C64" s="366">
        <f>C61*$C$58*365/360</f>
        <v>133297.23196139542</v>
      </c>
      <c r="D64" s="366">
        <f>D61*$C$58*365/360</f>
        <v>-56377.324923569024</v>
      </c>
      <c r="E64" s="366">
        <f>E61*$C$58*365/360</f>
        <v>0</v>
      </c>
      <c r="F64" s="366">
        <f>SUM(C64:E64)</f>
        <v>76919.9070378264</v>
      </c>
      <c r="G64" s="366"/>
    </row>
    <row r="65" spans="1:7">
      <c r="B65" s="346" t="s">
        <v>308</v>
      </c>
      <c r="C65" s="366">
        <f>C32*C17</f>
        <v>-2150869.5270132446</v>
      </c>
      <c r="D65" s="366">
        <f>D32*D17</f>
        <v>878559.51826098817</v>
      </c>
      <c r="E65" s="366">
        <f>E32*E17</f>
        <v>0</v>
      </c>
      <c r="F65" s="366">
        <f>SUM(C65:E65)</f>
        <v>-1272310.0087522564</v>
      </c>
    </row>
    <row r="66" spans="1:7">
      <c r="B66" s="347" t="s">
        <v>309</v>
      </c>
      <c r="C66" s="373">
        <f>SUM(C63:C65)</f>
        <v>-2017572.2950518492</v>
      </c>
      <c r="D66" s="373">
        <f>SUM(D63:D65)</f>
        <v>822182.19333741919</v>
      </c>
      <c r="E66" s="373">
        <f>SUM(E63:E65)</f>
        <v>0</v>
      </c>
      <c r="F66" s="373">
        <f>SUM(F63:F65)</f>
        <v>-1195390.1017144299</v>
      </c>
    </row>
    <row r="68" spans="1:7">
      <c r="B68" s="346" t="s">
        <v>310</v>
      </c>
      <c r="C68" s="368">
        <v>1.2500000000000001E-2</v>
      </c>
      <c r="D68" s="368">
        <f>C4+(C5-C4)*(B5-1-B4)/(B5-B4)</f>
        <v>3.9966666666666664E-2</v>
      </c>
      <c r="E68" s="368">
        <f>C5+(C6-C5)*(B6-1-B5)/(B6-B5)</f>
        <v>3.39E-2</v>
      </c>
      <c r="F68" s="366"/>
    </row>
    <row r="69" spans="1:7">
      <c r="B69" s="346" t="s">
        <v>284</v>
      </c>
      <c r="C69" s="368">
        <f>C68-C18</f>
        <v>-2.8399999999999998E-2</v>
      </c>
      <c r="D69" s="368">
        <f>D68-D18</f>
        <v>4.6666666666666384E-4</v>
      </c>
      <c r="E69" s="368">
        <f>E68-E18</f>
        <v>3.9000000000000007E-3</v>
      </c>
      <c r="F69" s="366"/>
    </row>
    <row r="70" spans="1:7">
      <c r="B70" s="346" t="s">
        <v>311</v>
      </c>
      <c r="C70" s="360">
        <f>-PV($C$68,$C$16-1,$C$17*100,100)</f>
        <v>102.80493827160493</v>
      </c>
      <c r="D70" s="360">
        <f>-PV($D$68,$D$16-1,$D$17*100,100)</f>
        <v>99.830591581425736</v>
      </c>
      <c r="E70" s="360">
        <f>-PV($E$68,$E$16-1,$E$17*100,100)</f>
        <v>91.28309288724202</v>
      </c>
      <c r="F70" s="367" t="s">
        <v>312</v>
      </c>
    </row>
    <row r="71" spans="1:7">
      <c r="B71" s="347" t="s">
        <v>313</v>
      </c>
      <c r="C71" s="373">
        <f>C32*(C70-C62)%</f>
        <v>-1475074.87861815</v>
      </c>
      <c r="D71" s="373">
        <f>D32*(D70-D62)%</f>
        <v>-37679.84268657244</v>
      </c>
      <c r="E71" s="373">
        <f>E32*(E70-E62)%</f>
        <v>0</v>
      </c>
      <c r="F71" s="373">
        <f>SUM(C71:E71)</f>
        <v>-1512754.7213047224</v>
      </c>
    </row>
    <row r="72" spans="1:7" ht="27" thickBot="1">
      <c r="C72" s="366"/>
      <c r="D72" s="366"/>
      <c r="E72" s="366"/>
      <c r="F72" s="366"/>
    </row>
    <row r="73" spans="1:7" ht="27" thickBot="1">
      <c r="B73" s="347" t="s">
        <v>314</v>
      </c>
      <c r="C73" s="373">
        <f>C66+C71</f>
        <v>-3492647.1736699995</v>
      </c>
      <c r="D73" s="373">
        <f>D66+D71</f>
        <v>784502.35065084673</v>
      </c>
      <c r="E73" s="373">
        <f>E66+E71</f>
        <v>0</v>
      </c>
      <c r="F73" s="370">
        <f>F66+F71</f>
        <v>-2708144.8230191525</v>
      </c>
    </row>
    <row r="74" spans="1:7" ht="27" thickBot="1">
      <c r="C74" s="359"/>
      <c r="D74" s="359"/>
      <c r="E74" s="359"/>
    </row>
    <row r="75" spans="1:7" ht="27" thickBot="1">
      <c r="C75" s="359"/>
      <c r="D75" s="359"/>
      <c r="E75" s="347" t="s">
        <v>315</v>
      </c>
      <c r="F75" s="370">
        <f>F37+F73</f>
        <v>-3180666.82980684</v>
      </c>
    </row>
    <row r="76" spans="1:7">
      <c r="C76" s="359"/>
      <c r="D76" s="359"/>
      <c r="E76" s="359"/>
    </row>
    <row r="77" spans="1:7">
      <c r="B77" s="374" t="s">
        <v>316</v>
      </c>
      <c r="C77" s="359"/>
      <c r="D77" s="359"/>
      <c r="E77" s="359"/>
      <c r="F77" s="349" t="s">
        <v>317</v>
      </c>
      <c r="G77" s="349" t="s">
        <v>318</v>
      </c>
    </row>
    <row r="78" spans="1:7">
      <c r="B78" s="359" t="s">
        <v>319</v>
      </c>
      <c r="C78" s="359">
        <f>C66/$C$25</f>
        <v>-201.75722950518491</v>
      </c>
      <c r="D78" s="359">
        <f>D66/$C$25</f>
        <v>82.218219333741914</v>
      </c>
      <c r="E78" s="359">
        <f>E66/$C$25</f>
        <v>0</v>
      </c>
      <c r="F78" s="359">
        <f>SUM(C78:E78)</f>
        <v>-119.539010171443</v>
      </c>
      <c r="G78" s="359">
        <f>F78/12</f>
        <v>-9.961584180953583</v>
      </c>
    </row>
    <row r="79" spans="1:7" ht="27" thickBot="1">
      <c r="B79" s="359" t="s">
        <v>320</v>
      </c>
      <c r="C79" s="359">
        <f>C71/$C$25</f>
        <v>-147.50748786181501</v>
      </c>
      <c r="D79" s="359">
        <f>D71/$C$25</f>
        <v>-3.7679842686572438</v>
      </c>
      <c r="E79" s="359">
        <f>E71/$C$25</f>
        <v>0</v>
      </c>
      <c r="F79" s="359">
        <f>SUM(C79:E79)</f>
        <v>-151.27547213047225</v>
      </c>
      <c r="G79" s="359">
        <f>F79/12</f>
        <v>-12.60628934420602</v>
      </c>
    </row>
    <row r="80" spans="1:7" ht="27" thickBot="1">
      <c r="A80" s="374"/>
      <c r="B80" s="359"/>
      <c r="C80" s="359"/>
      <c r="D80" s="359"/>
      <c r="E80" s="359"/>
      <c r="F80" s="375">
        <f>SUM(F78:F79)</f>
        <v>-270.81448230191523</v>
      </c>
      <c r="G80" s="375">
        <f>F80/12</f>
        <v>-22.567873525159602</v>
      </c>
    </row>
    <row r="81" spans="1:2" s="357" customFormat="1">
      <c r="B81" s="346"/>
    </row>
    <row r="82" spans="1:2" s="357" customFormat="1">
      <c r="A82" s="356"/>
      <c r="B82" s="356" t="s">
        <v>321</v>
      </c>
    </row>
    <row r="83" spans="1:2" s="357" customFormat="1">
      <c r="A83" s="356"/>
      <c r="B83" s="356" t="s">
        <v>322</v>
      </c>
    </row>
    <row r="84" spans="1:2" s="357" customFormat="1">
      <c r="A84" s="346"/>
      <c r="B84" s="356" t="s">
        <v>323</v>
      </c>
    </row>
  </sheetData>
  <dataValidations count="2">
    <dataValidation type="list" allowBlank="1" showInputMessage="1" showErrorMessage="1" sqref="C28:E28" xr:uid="{36254E4B-6964-4AB6-B73D-8CB858EABEBB}">
      <formula1>"Y,N"</formula1>
    </dataValidation>
    <dataValidation type="list" allowBlank="1" showInputMessage="1" showErrorMessage="1" sqref="C29:E29" xr:uid="{A85E6000-0D2E-42A7-90A1-01070A5C6D20}">
      <formula1>"Long,Short"</formula1>
    </dataValidation>
  </dataValidations>
  <pageMargins left="0.70866141732283472" right="0.70866141732283472" top="0.74803149606299213" bottom="0.74803149606299213" header="0.31496062992125984" footer="0.31496062992125984"/>
  <pageSetup paperSize="9" scale="22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09337-5094-486D-8F28-CC5F727601D4}">
  <sheetPr>
    <tabColor rgb="FFFFFF00"/>
  </sheetPr>
  <dimension ref="A1:P49"/>
  <sheetViews>
    <sheetView topLeftCell="B1" zoomScale="85" zoomScaleNormal="85" workbookViewId="0">
      <selection activeCell="E1" sqref="E1:E3"/>
    </sheetView>
  </sheetViews>
  <sheetFormatPr defaultRowHeight="26.25"/>
  <cols>
    <col min="1" max="1" width="9.6640625" style="288" bestFit="1" customWidth="1"/>
    <col min="2" max="2" width="16.46484375" style="288" bestFit="1" customWidth="1"/>
    <col min="3" max="3" width="9.6640625" style="288" bestFit="1" customWidth="1"/>
    <col min="4" max="4" width="12.46484375" style="288" customWidth="1"/>
    <col min="5" max="5" width="9.6640625" style="288" customWidth="1"/>
    <col min="6" max="6" width="5.6640625" style="288" bestFit="1" customWidth="1"/>
    <col min="7" max="7" width="9.6640625" style="288" bestFit="1" customWidth="1"/>
    <col min="8" max="8" width="16" style="288" bestFit="1" customWidth="1"/>
    <col min="9" max="9" width="9.6640625" style="288" bestFit="1" customWidth="1"/>
    <col min="10" max="11" width="11.06640625" style="288" bestFit="1" customWidth="1"/>
    <col min="12" max="12" width="9.06640625" style="288"/>
    <col min="13" max="13" width="12.33203125" style="288" bestFit="1" customWidth="1"/>
    <col min="14" max="15" width="9.06640625" style="288"/>
    <col min="16" max="16" width="6.06640625" style="288" bestFit="1" customWidth="1"/>
    <col min="17" max="257" width="9.06640625" style="288"/>
    <col min="258" max="258" width="7.06640625" style="288" bestFit="1" customWidth="1"/>
    <col min="259" max="259" width="6.9296875" style="288" customWidth="1"/>
    <col min="260" max="260" width="9.06640625" style="288"/>
    <col min="261" max="261" width="4.9296875" style="288" bestFit="1" customWidth="1"/>
    <col min="262" max="262" width="5.6640625" style="288" bestFit="1" customWidth="1"/>
    <col min="263" max="263" width="5.6640625" style="288" customWidth="1"/>
    <col min="264" max="264" width="8.6640625" style="288" bestFit="1" customWidth="1"/>
    <col min="265" max="265" width="8.33203125" style="288" customWidth="1"/>
    <col min="266" max="268" width="9.06640625" style="288"/>
    <col min="269" max="269" width="12.33203125" style="288" bestFit="1" customWidth="1"/>
    <col min="270" max="271" width="9.06640625" style="288"/>
    <col min="272" max="272" width="6.06640625" style="288" bestFit="1" customWidth="1"/>
    <col min="273" max="513" width="9.06640625" style="288"/>
    <col min="514" max="514" width="7.06640625" style="288" bestFit="1" customWidth="1"/>
    <col min="515" max="515" width="6.9296875" style="288" customWidth="1"/>
    <col min="516" max="516" width="9.06640625" style="288"/>
    <col min="517" max="517" width="4.9296875" style="288" bestFit="1" customWidth="1"/>
    <col min="518" max="518" width="5.6640625" style="288" bestFit="1" customWidth="1"/>
    <col min="519" max="519" width="5.6640625" style="288" customWidth="1"/>
    <col min="520" max="520" width="8.6640625" style="288" bestFit="1" customWidth="1"/>
    <col min="521" max="521" width="8.33203125" style="288" customWidth="1"/>
    <col min="522" max="524" width="9.06640625" style="288"/>
    <col min="525" max="525" width="12.33203125" style="288" bestFit="1" customWidth="1"/>
    <col min="526" max="527" width="9.06640625" style="288"/>
    <col min="528" max="528" width="6.06640625" style="288" bestFit="1" customWidth="1"/>
    <col min="529" max="769" width="9.06640625" style="288"/>
    <col min="770" max="770" width="7.06640625" style="288" bestFit="1" customWidth="1"/>
    <col min="771" max="771" width="6.9296875" style="288" customWidth="1"/>
    <col min="772" max="772" width="9.06640625" style="288"/>
    <col min="773" max="773" width="4.9296875" style="288" bestFit="1" customWidth="1"/>
    <col min="774" max="774" width="5.6640625" style="288" bestFit="1" customWidth="1"/>
    <col min="775" max="775" width="5.6640625" style="288" customWidth="1"/>
    <col min="776" max="776" width="8.6640625" style="288" bestFit="1" customWidth="1"/>
    <col min="777" max="777" width="8.33203125" style="288" customWidth="1"/>
    <col min="778" max="780" width="9.06640625" style="288"/>
    <col min="781" max="781" width="12.33203125" style="288" bestFit="1" customWidth="1"/>
    <col min="782" max="783" width="9.06640625" style="288"/>
    <col min="784" max="784" width="6.06640625" style="288" bestFit="1" customWidth="1"/>
    <col min="785" max="1025" width="9.06640625" style="288"/>
    <col min="1026" max="1026" width="7.06640625" style="288" bestFit="1" customWidth="1"/>
    <col min="1027" max="1027" width="6.9296875" style="288" customWidth="1"/>
    <col min="1028" max="1028" width="9.06640625" style="288"/>
    <col min="1029" max="1029" width="4.9296875" style="288" bestFit="1" customWidth="1"/>
    <col min="1030" max="1030" width="5.6640625" style="288" bestFit="1" customWidth="1"/>
    <col min="1031" max="1031" width="5.6640625" style="288" customWidth="1"/>
    <col min="1032" max="1032" width="8.6640625" style="288" bestFit="1" customWidth="1"/>
    <col min="1033" max="1033" width="8.33203125" style="288" customWidth="1"/>
    <col min="1034" max="1036" width="9.06640625" style="288"/>
    <col min="1037" max="1037" width="12.33203125" style="288" bestFit="1" customWidth="1"/>
    <col min="1038" max="1039" width="9.06640625" style="288"/>
    <col min="1040" max="1040" width="6.06640625" style="288" bestFit="1" customWidth="1"/>
    <col min="1041" max="1281" width="9.06640625" style="288"/>
    <col min="1282" max="1282" width="7.06640625" style="288" bestFit="1" customWidth="1"/>
    <col min="1283" max="1283" width="6.9296875" style="288" customWidth="1"/>
    <col min="1284" max="1284" width="9.06640625" style="288"/>
    <col min="1285" max="1285" width="4.9296875" style="288" bestFit="1" customWidth="1"/>
    <col min="1286" max="1286" width="5.6640625" style="288" bestFit="1" customWidth="1"/>
    <col min="1287" max="1287" width="5.6640625" style="288" customWidth="1"/>
    <col min="1288" max="1288" width="8.6640625" style="288" bestFit="1" customWidth="1"/>
    <col min="1289" max="1289" width="8.33203125" style="288" customWidth="1"/>
    <col min="1290" max="1292" width="9.06640625" style="288"/>
    <col min="1293" max="1293" width="12.33203125" style="288" bestFit="1" customWidth="1"/>
    <col min="1294" max="1295" width="9.06640625" style="288"/>
    <col min="1296" max="1296" width="6.06640625" style="288" bestFit="1" customWidth="1"/>
    <col min="1297" max="1537" width="9.06640625" style="288"/>
    <col min="1538" max="1538" width="7.06640625" style="288" bestFit="1" customWidth="1"/>
    <col min="1539" max="1539" width="6.9296875" style="288" customWidth="1"/>
    <col min="1540" max="1540" width="9.06640625" style="288"/>
    <col min="1541" max="1541" width="4.9296875" style="288" bestFit="1" customWidth="1"/>
    <col min="1542" max="1542" width="5.6640625" style="288" bestFit="1" customWidth="1"/>
    <col min="1543" max="1543" width="5.6640625" style="288" customWidth="1"/>
    <col min="1544" max="1544" width="8.6640625" style="288" bestFit="1" customWidth="1"/>
    <col min="1545" max="1545" width="8.33203125" style="288" customWidth="1"/>
    <col min="1546" max="1548" width="9.06640625" style="288"/>
    <col min="1549" max="1549" width="12.33203125" style="288" bestFit="1" customWidth="1"/>
    <col min="1550" max="1551" width="9.06640625" style="288"/>
    <col min="1552" max="1552" width="6.06640625" style="288" bestFit="1" customWidth="1"/>
    <col min="1553" max="1793" width="9.06640625" style="288"/>
    <col min="1794" max="1794" width="7.06640625" style="288" bestFit="1" customWidth="1"/>
    <col min="1795" max="1795" width="6.9296875" style="288" customWidth="1"/>
    <col min="1796" max="1796" width="9.06640625" style="288"/>
    <col min="1797" max="1797" width="4.9296875" style="288" bestFit="1" customWidth="1"/>
    <col min="1798" max="1798" width="5.6640625" style="288" bestFit="1" customWidth="1"/>
    <col min="1799" max="1799" width="5.6640625" style="288" customWidth="1"/>
    <col min="1800" max="1800" width="8.6640625" style="288" bestFit="1" customWidth="1"/>
    <col min="1801" max="1801" width="8.33203125" style="288" customWidth="1"/>
    <col min="1802" max="1804" width="9.06640625" style="288"/>
    <col min="1805" max="1805" width="12.33203125" style="288" bestFit="1" customWidth="1"/>
    <col min="1806" max="1807" width="9.06640625" style="288"/>
    <col min="1808" max="1808" width="6.06640625" style="288" bestFit="1" customWidth="1"/>
    <col min="1809" max="2049" width="9.06640625" style="288"/>
    <col min="2050" max="2050" width="7.06640625" style="288" bestFit="1" customWidth="1"/>
    <col min="2051" max="2051" width="6.9296875" style="288" customWidth="1"/>
    <col min="2052" max="2052" width="9.06640625" style="288"/>
    <col min="2053" max="2053" width="4.9296875" style="288" bestFit="1" customWidth="1"/>
    <col min="2054" max="2054" width="5.6640625" style="288" bestFit="1" customWidth="1"/>
    <col min="2055" max="2055" width="5.6640625" style="288" customWidth="1"/>
    <col min="2056" max="2056" width="8.6640625" style="288" bestFit="1" customWidth="1"/>
    <col min="2057" max="2057" width="8.33203125" style="288" customWidth="1"/>
    <col min="2058" max="2060" width="9.06640625" style="288"/>
    <col min="2061" max="2061" width="12.33203125" style="288" bestFit="1" customWidth="1"/>
    <col min="2062" max="2063" width="9.06640625" style="288"/>
    <col min="2064" max="2064" width="6.06640625" style="288" bestFit="1" customWidth="1"/>
    <col min="2065" max="2305" width="9.06640625" style="288"/>
    <col min="2306" max="2306" width="7.06640625" style="288" bestFit="1" customWidth="1"/>
    <col min="2307" max="2307" width="6.9296875" style="288" customWidth="1"/>
    <col min="2308" max="2308" width="9.06640625" style="288"/>
    <col min="2309" max="2309" width="4.9296875" style="288" bestFit="1" customWidth="1"/>
    <col min="2310" max="2310" width="5.6640625" style="288" bestFit="1" customWidth="1"/>
    <col min="2311" max="2311" width="5.6640625" style="288" customWidth="1"/>
    <col min="2312" max="2312" width="8.6640625" style="288" bestFit="1" customWidth="1"/>
    <col min="2313" max="2313" width="8.33203125" style="288" customWidth="1"/>
    <col min="2314" max="2316" width="9.06640625" style="288"/>
    <col min="2317" max="2317" width="12.33203125" style="288" bestFit="1" customWidth="1"/>
    <col min="2318" max="2319" width="9.06640625" style="288"/>
    <col min="2320" max="2320" width="6.06640625" style="288" bestFit="1" customWidth="1"/>
    <col min="2321" max="2561" width="9.06640625" style="288"/>
    <col min="2562" max="2562" width="7.06640625" style="288" bestFit="1" customWidth="1"/>
    <col min="2563" max="2563" width="6.9296875" style="288" customWidth="1"/>
    <col min="2564" max="2564" width="9.06640625" style="288"/>
    <col min="2565" max="2565" width="4.9296875" style="288" bestFit="1" customWidth="1"/>
    <col min="2566" max="2566" width="5.6640625" style="288" bestFit="1" customWidth="1"/>
    <col min="2567" max="2567" width="5.6640625" style="288" customWidth="1"/>
    <col min="2568" max="2568" width="8.6640625" style="288" bestFit="1" customWidth="1"/>
    <col min="2569" max="2569" width="8.33203125" style="288" customWidth="1"/>
    <col min="2570" max="2572" width="9.06640625" style="288"/>
    <col min="2573" max="2573" width="12.33203125" style="288" bestFit="1" customWidth="1"/>
    <col min="2574" max="2575" width="9.06640625" style="288"/>
    <col min="2576" max="2576" width="6.06640625" style="288" bestFit="1" customWidth="1"/>
    <col min="2577" max="2817" width="9.06640625" style="288"/>
    <col min="2818" max="2818" width="7.06640625" style="288" bestFit="1" customWidth="1"/>
    <col min="2819" max="2819" width="6.9296875" style="288" customWidth="1"/>
    <col min="2820" max="2820" width="9.06640625" style="288"/>
    <col min="2821" max="2821" width="4.9296875" style="288" bestFit="1" customWidth="1"/>
    <col min="2822" max="2822" width="5.6640625" style="288" bestFit="1" customWidth="1"/>
    <col min="2823" max="2823" width="5.6640625" style="288" customWidth="1"/>
    <col min="2824" max="2824" width="8.6640625" style="288" bestFit="1" customWidth="1"/>
    <col min="2825" max="2825" width="8.33203125" style="288" customWidth="1"/>
    <col min="2826" max="2828" width="9.06640625" style="288"/>
    <col min="2829" max="2829" width="12.33203125" style="288" bestFit="1" customWidth="1"/>
    <col min="2830" max="2831" width="9.06640625" style="288"/>
    <col min="2832" max="2832" width="6.06640625" style="288" bestFit="1" customWidth="1"/>
    <col min="2833" max="3073" width="9.06640625" style="288"/>
    <col min="3074" max="3074" width="7.06640625" style="288" bestFit="1" customWidth="1"/>
    <col min="3075" max="3075" width="6.9296875" style="288" customWidth="1"/>
    <col min="3076" max="3076" width="9.06640625" style="288"/>
    <col min="3077" max="3077" width="4.9296875" style="288" bestFit="1" customWidth="1"/>
    <col min="3078" max="3078" width="5.6640625" style="288" bestFit="1" customWidth="1"/>
    <col min="3079" max="3079" width="5.6640625" style="288" customWidth="1"/>
    <col min="3080" max="3080" width="8.6640625" style="288" bestFit="1" customWidth="1"/>
    <col min="3081" max="3081" width="8.33203125" style="288" customWidth="1"/>
    <col min="3082" max="3084" width="9.06640625" style="288"/>
    <col min="3085" max="3085" width="12.33203125" style="288" bestFit="1" customWidth="1"/>
    <col min="3086" max="3087" width="9.06640625" style="288"/>
    <col min="3088" max="3088" width="6.06640625" style="288" bestFit="1" customWidth="1"/>
    <col min="3089" max="3329" width="9.06640625" style="288"/>
    <col min="3330" max="3330" width="7.06640625" style="288" bestFit="1" customWidth="1"/>
    <col min="3331" max="3331" width="6.9296875" style="288" customWidth="1"/>
    <col min="3332" max="3332" width="9.06640625" style="288"/>
    <col min="3333" max="3333" width="4.9296875" style="288" bestFit="1" customWidth="1"/>
    <col min="3334" max="3334" width="5.6640625" style="288" bestFit="1" customWidth="1"/>
    <col min="3335" max="3335" width="5.6640625" style="288" customWidth="1"/>
    <col min="3336" max="3336" width="8.6640625" style="288" bestFit="1" customWidth="1"/>
    <col min="3337" max="3337" width="8.33203125" style="288" customWidth="1"/>
    <col min="3338" max="3340" width="9.06640625" style="288"/>
    <col min="3341" max="3341" width="12.33203125" style="288" bestFit="1" customWidth="1"/>
    <col min="3342" max="3343" width="9.06640625" style="288"/>
    <col min="3344" max="3344" width="6.06640625" style="288" bestFit="1" customWidth="1"/>
    <col min="3345" max="3585" width="9.06640625" style="288"/>
    <col min="3586" max="3586" width="7.06640625" style="288" bestFit="1" customWidth="1"/>
    <col min="3587" max="3587" width="6.9296875" style="288" customWidth="1"/>
    <col min="3588" max="3588" width="9.06640625" style="288"/>
    <col min="3589" max="3589" width="4.9296875" style="288" bestFit="1" customWidth="1"/>
    <col min="3590" max="3590" width="5.6640625" style="288" bestFit="1" customWidth="1"/>
    <col min="3591" max="3591" width="5.6640625" style="288" customWidth="1"/>
    <col min="3592" max="3592" width="8.6640625" style="288" bestFit="1" customWidth="1"/>
    <col min="3593" max="3593" width="8.33203125" style="288" customWidth="1"/>
    <col min="3594" max="3596" width="9.06640625" style="288"/>
    <col min="3597" max="3597" width="12.33203125" style="288" bestFit="1" customWidth="1"/>
    <col min="3598" max="3599" width="9.06640625" style="288"/>
    <col min="3600" max="3600" width="6.06640625" style="288" bestFit="1" customWidth="1"/>
    <col min="3601" max="3841" width="9.06640625" style="288"/>
    <col min="3842" max="3842" width="7.06640625" style="288" bestFit="1" customWidth="1"/>
    <col min="3843" max="3843" width="6.9296875" style="288" customWidth="1"/>
    <col min="3844" max="3844" width="9.06640625" style="288"/>
    <col min="3845" max="3845" width="4.9296875" style="288" bestFit="1" customWidth="1"/>
    <col min="3846" max="3846" width="5.6640625" style="288" bestFit="1" customWidth="1"/>
    <col min="3847" max="3847" width="5.6640625" style="288" customWidth="1"/>
    <col min="3848" max="3848" width="8.6640625" style="288" bestFit="1" customWidth="1"/>
    <col min="3849" max="3849" width="8.33203125" style="288" customWidth="1"/>
    <col min="3850" max="3852" width="9.06640625" style="288"/>
    <col min="3853" max="3853" width="12.33203125" style="288" bestFit="1" customWidth="1"/>
    <col min="3854" max="3855" width="9.06640625" style="288"/>
    <col min="3856" max="3856" width="6.06640625" style="288" bestFit="1" customWidth="1"/>
    <col min="3857" max="4097" width="9.06640625" style="288"/>
    <col min="4098" max="4098" width="7.06640625" style="288" bestFit="1" customWidth="1"/>
    <col min="4099" max="4099" width="6.9296875" style="288" customWidth="1"/>
    <col min="4100" max="4100" width="9.06640625" style="288"/>
    <col min="4101" max="4101" width="4.9296875" style="288" bestFit="1" customWidth="1"/>
    <col min="4102" max="4102" width="5.6640625" style="288" bestFit="1" customWidth="1"/>
    <col min="4103" max="4103" width="5.6640625" style="288" customWidth="1"/>
    <col min="4104" max="4104" width="8.6640625" style="288" bestFit="1" customWidth="1"/>
    <col min="4105" max="4105" width="8.33203125" style="288" customWidth="1"/>
    <col min="4106" max="4108" width="9.06640625" style="288"/>
    <col min="4109" max="4109" width="12.33203125" style="288" bestFit="1" customWidth="1"/>
    <col min="4110" max="4111" width="9.06640625" style="288"/>
    <col min="4112" max="4112" width="6.06640625" style="288" bestFit="1" customWidth="1"/>
    <col min="4113" max="4353" width="9.06640625" style="288"/>
    <col min="4354" max="4354" width="7.06640625" style="288" bestFit="1" customWidth="1"/>
    <col min="4355" max="4355" width="6.9296875" style="288" customWidth="1"/>
    <col min="4356" max="4356" width="9.06640625" style="288"/>
    <col min="4357" max="4357" width="4.9296875" style="288" bestFit="1" customWidth="1"/>
    <col min="4358" max="4358" width="5.6640625" style="288" bestFit="1" customWidth="1"/>
    <col min="4359" max="4359" width="5.6640625" style="288" customWidth="1"/>
    <col min="4360" max="4360" width="8.6640625" style="288" bestFit="1" customWidth="1"/>
    <col min="4361" max="4361" width="8.33203125" style="288" customWidth="1"/>
    <col min="4362" max="4364" width="9.06640625" style="288"/>
    <col min="4365" max="4365" width="12.33203125" style="288" bestFit="1" customWidth="1"/>
    <col min="4366" max="4367" width="9.06640625" style="288"/>
    <col min="4368" max="4368" width="6.06640625" style="288" bestFit="1" customWidth="1"/>
    <col min="4369" max="4609" width="9.06640625" style="288"/>
    <col min="4610" max="4610" width="7.06640625" style="288" bestFit="1" customWidth="1"/>
    <col min="4611" max="4611" width="6.9296875" style="288" customWidth="1"/>
    <col min="4612" max="4612" width="9.06640625" style="288"/>
    <col min="4613" max="4613" width="4.9296875" style="288" bestFit="1" customWidth="1"/>
    <col min="4614" max="4614" width="5.6640625" style="288" bestFit="1" customWidth="1"/>
    <col min="4615" max="4615" width="5.6640625" style="288" customWidth="1"/>
    <col min="4616" max="4616" width="8.6640625" style="288" bestFit="1" customWidth="1"/>
    <col min="4617" max="4617" width="8.33203125" style="288" customWidth="1"/>
    <col min="4618" max="4620" width="9.06640625" style="288"/>
    <col min="4621" max="4621" width="12.33203125" style="288" bestFit="1" customWidth="1"/>
    <col min="4622" max="4623" width="9.06640625" style="288"/>
    <col min="4624" max="4624" width="6.06640625" style="288" bestFit="1" customWidth="1"/>
    <col min="4625" max="4865" width="9.06640625" style="288"/>
    <col min="4866" max="4866" width="7.06640625" style="288" bestFit="1" customWidth="1"/>
    <col min="4867" max="4867" width="6.9296875" style="288" customWidth="1"/>
    <col min="4868" max="4868" width="9.06640625" style="288"/>
    <col min="4869" max="4869" width="4.9296875" style="288" bestFit="1" customWidth="1"/>
    <col min="4870" max="4870" width="5.6640625" style="288" bestFit="1" customWidth="1"/>
    <col min="4871" max="4871" width="5.6640625" style="288" customWidth="1"/>
    <col min="4872" max="4872" width="8.6640625" style="288" bestFit="1" customWidth="1"/>
    <col min="4873" max="4873" width="8.33203125" style="288" customWidth="1"/>
    <col min="4874" max="4876" width="9.06640625" style="288"/>
    <col min="4877" max="4877" width="12.33203125" style="288" bestFit="1" customWidth="1"/>
    <col min="4878" max="4879" width="9.06640625" style="288"/>
    <col min="4880" max="4880" width="6.06640625" style="288" bestFit="1" customWidth="1"/>
    <col min="4881" max="5121" width="9.06640625" style="288"/>
    <col min="5122" max="5122" width="7.06640625" style="288" bestFit="1" customWidth="1"/>
    <col min="5123" max="5123" width="6.9296875" style="288" customWidth="1"/>
    <col min="5124" max="5124" width="9.06640625" style="288"/>
    <col min="5125" max="5125" width="4.9296875" style="288" bestFit="1" customWidth="1"/>
    <col min="5126" max="5126" width="5.6640625" style="288" bestFit="1" customWidth="1"/>
    <col min="5127" max="5127" width="5.6640625" style="288" customWidth="1"/>
    <col min="5128" max="5128" width="8.6640625" style="288" bestFit="1" customWidth="1"/>
    <col min="5129" max="5129" width="8.33203125" style="288" customWidth="1"/>
    <col min="5130" max="5132" width="9.06640625" style="288"/>
    <col min="5133" max="5133" width="12.33203125" style="288" bestFit="1" customWidth="1"/>
    <col min="5134" max="5135" width="9.06640625" style="288"/>
    <col min="5136" max="5136" width="6.06640625" style="288" bestFit="1" customWidth="1"/>
    <col min="5137" max="5377" width="9.06640625" style="288"/>
    <col min="5378" max="5378" width="7.06640625" style="288" bestFit="1" customWidth="1"/>
    <col min="5379" max="5379" width="6.9296875" style="288" customWidth="1"/>
    <col min="5380" max="5380" width="9.06640625" style="288"/>
    <col min="5381" max="5381" width="4.9296875" style="288" bestFit="1" customWidth="1"/>
    <col min="5382" max="5382" width="5.6640625" style="288" bestFit="1" customWidth="1"/>
    <col min="5383" max="5383" width="5.6640625" style="288" customWidth="1"/>
    <col min="5384" max="5384" width="8.6640625" style="288" bestFit="1" customWidth="1"/>
    <col min="5385" max="5385" width="8.33203125" style="288" customWidth="1"/>
    <col min="5386" max="5388" width="9.06640625" style="288"/>
    <col min="5389" max="5389" width="12.33203125" style="288" bestFit="1" customWidth="1"/>
    <col min="5390" max="5391" width="9.06640625" style="288"/>
    <col min="5392" max="5392" width="6.06640625" style="288" bestFit="1" customWidth="1"/>
    <col min="5393" max="5633" width="9.06640625" style="288"/>
    <col min="5634" max="5634" width="7.06640625" style="288" bestFit="1" customWidth="1"/>
    <col min="5635" max="5635" width="6.9296875" style="288" customWidth="1"/>
    <col min="5636" max="5636" width="9.06640625" style="288"/>
    <col min="5637" max="5637" width="4.9296875" style="288" bestFit="1" customWidth="1"/>
    <col min="5638" max="5638" width="5.6640625" style="288" bestFit="1" customWidth="1"/>
    <col min="5639" max="5639" width="5.6640625" style="288" customWidth="1"/>
    <col min="5640" max="5640" width="8.6640625" style="288" bestFit="1" customWidth="1"/>
    <col min="5641" max="5641" width="8.33203125" style="288" customWidth="1"/>
    <col min="5642" max="5644" width="9.06640625" style="288"/>
    <col min="5645" max="5645" width="12.33203125" style="288" bestFit="1" customWidth="1"/>
    <col min="5646" max="5647" width="9.06640625" style="288"/>
    <col min="5648" max="5648" width="6.06640625" style="288" bestFit="1" customWidth="1"/>
    <col min="5649" max="5889" width="9.06640625" style="288"/>
    <col min="5890" max="5890" width="7.06640625" style="288" bestFit="1" customWidth="1"/>
    <col min="5891" max="5891" width="6.9296875" style="288" customWidth="1"/>
    <col min="5892" max="5892" width="9.06640625" style="288"/>
    <col min="5893" max="5893" width="4.9296875" style="288" bestFit="1" customWidth="1"/>
    <col min="5894" max="5894" width="5.6640625" style="288" bestFit="1" customWidth="1"/>
    <col min="5895" max="5895" width="5.6640625" style="288" customWidth="1"/>
    <col min="5896" max="5896" width="8.6640625" style="288" bestFit="1" customWidth="1"/>
    <col min="5897" max="5897" width="8.33203125" style="288" customWidth="1"/>
    <col min="5898" max="5900" width="9.06640625" style="288"/>
    <col min="5901" max="5901" width="12.33203125" style="288" bestFit="1" customWidth="1"/>
    <col min="5902" max="5903" width="9.06640625" style="288"/>
    <col min="5904" max="5904" width="6.06640625" style="288" bestFit="1" customWidth="1"/>
    <col min="5905" max="6145" width="9.06640625" style="288"/>
    <col min="6146" max="6146" width="7.06640625" style="288" bestFit="1" customWidth="1"/>
    <col min="6147" max="6147" width="6.9296875" style="288" customWidth="1"/>
    <col min="6148" max="6148" width="9.06640625" style="288"/>
    <col min="6149" max="6149" width="4.9296875" style="288" bestFit="1" customWidth="1"/>
    <col min="6150" max="6150" width="5.6640625" style="288" bestFit="1" customWidth="1"/>
    <col min="6151" max="6151" width="5.6640625" style="288" customWidth="1"/>
    <col min="6152" max="6152" width="8.6640625" style="288" bestFit="1" customWidth="1"/>
    <col min="6153" max="6153" width="8.33203125" style="288" customWidth="1"/>
    <col min="6154" max="6156" width="9.06640625" style="288"/>
    <col min="6157" max="6157" width="12.33203125" style="288" bestFit="1" customWidth="1"/>
    <col min="6158" max="6159" width="9.06640625" style="288"/>
    <col min="6160" max="6160" width="6.06640625" style="288" bestFit="1" customWidth="1"/>
    <col min="6161" max="6401" width="9.06640625" style="288"/>
    <col min="6402" max="6402" width="7.06640625" style="288" bestFit="1" customWidth="1"/>
    <col min="6403" max="6403" width="6.9296875" style="288" customWidth="1"/>
    <col min="6404" max="6404" width="9.06640625" style="288"/>
    <col min="6405" max="6405" width="4.9296875" style="288" bestFit="1" customWidth="1"/>
    <col min="6406" max="6406" width="5.6640625" style="288" bestFit="1" customWidth="1"/>
    <col min="6407" max="6407" width="5.6640625" style="288" customWidth="1"/>
    <col min="6408" max="6408" width="8.6640625" style="288" bestFit="1" customWidth="1"/>
    <col min="6409" max="6409" width="8.33203125" style="288" customWidth="1"/>
    <col min="6410" max="6412" width="9.06640625" style="288"/>
    <col min="6413" max="6413" width="12.33203125" style="288" bestFit="1" customWidth="1"/>
    <col min="6414" max="6415" width="9.06640625" style="288"/>
    <col min="6416" max="6416" width="6.06640625" style="288" bestFit="1" customWidth="1"/>
    <col min="6417" max="6657" width="9.06640625" style="288"/>
    <col min="6658" max="6658" width="7.06640625" style="288" bestFit="1" customWidth="1"/>
    <col min="6659" max="6659" width="6.9296875" style="288" customWidth="1"/>
    <col min="6660" max="6660" width="9.06640625" style="288"/>
    <col min="6661" max="6661" width="4.9296875" style="288" bestFit="1" customWidth="1"/>
    <col min="6662" max="6662" width="5.6640625" style="288" bestFit="1" customWidth="1"/>
    <col min="6663" max="6663" width="5.6640625" style="288" customWidth="1"/>
    <col min="6664" max="6664" width="8.6640625" style="288" bestFit="1" customWidth="1"/>
    <col min="6665" max="6665" width="8.33203125" style="288" customWidth="1"/>
    <col min="6666" max="6668" width="9.06640625" style="288"/>
    <col min="6669" max="6669" width="12.33203125" style="288" bestFit="1" customWidth="1"/>
    <col min="6670" max="6671" width="9.06640625" style="288"/>
    <col min="6672" max="6672" width="6.06640625" style="288" bestFit="1" customWidth="1"/>
    <col min="6673" max="6913" width="9.06640625" style="288"/>
    <col min="6914" max="6914" width="7.06640625" style="288" bestFit="1" customWidth="1"/>
    <col min="6915" max="6915" width="6.9296875" style="288" customWidth="1"/>
    <col min="6916" max="6916" width="9.06640625" style="288"/>
    <col min="6917" max="6917" width="4.9296875" style="288" bestFit="1" customWidth="1"/>
    <col min="6918" max="6918" width="5.6640625" style="288" bestFit="1" customWidth="1"/>
    <col min="6919" max="6919" width="5.6640625" style="288" customWidth="1"/>
    <col min="6920" max="6920" width="8.6640625" style="288" bestFit="1" customWidth="1"/>
    <col min="6921" max="6921" width="8.33203125" style="288" customWidth="1"/>
    <col min="6922" max="6924" width="9.06640625" style="288"/>
    <col min="6925" max="6925" width="12.33203125" style="288" bestFit="1" customWidth="1"/>
    <col min="6926" max="6927" width="9.06640625" style="288"/>
    <col min="6928" max="6928" width="6.06640625" style="288" bestFit="1" customWidth="1"/>
    <col min="6929" max="7169" width="9.06640625" style="288"/>
    <col min="7170" max="7170" width="7.06640625" style="288" bestFit="1" customWidth="1"/>
    <col min="7171" max="7171" width="6.9296875" style="288" customWidth="1"/>
    <col min="7172" max="7172" width="9.06640625" style="288"/>
    <col min="7173" max="7173" width="4.9296875" style="288" bestFit="1" customWidth="1"/>
    <col min="7174" max="7174" width="5.6640625" style="288" bestFit="1" customWidth="1"/>
    <col min="7175" max="7175" width="5.6640625" style="288" customWidth="1"/>
    <col min="7176" max="7176" width="8.6640625" style="288" bestFit="1" customWidth="1"/>
    <col min="7177" max="7177" width="8.33203125" style="288" customWidth="1"/>
    <col min="7178" max="7180" width="9.06640625" style="288"/>
    <col min="7181" max="7181" width="12.33203125" style="288" bestFit="1" customWidth="1"/>
    <col min="7182" max="7183" width="9.06640625" style="288"/>
    <col min="7184" max="7184" width="6.06640625" style="288" bestFit="1" customWidth="1"/>
    <col min="7185" max="7425" width="9.06640625" style="288"/>
    <col min="7426" max="7426" width="7.06640625" style="288" bestFit="1" customWidth="1"/>
    <col min="7427" max="7427" width="6.9296875" style="288" customWidth="1"/>
    <col min="7428" max="7428" width="9.06640625" style="288"/>
    <col min="7429" max="7429" width="4.9296875" style="288" bestFit="1" customWidth="1"/>
    <col min="7430" max="7430" width="5.6640625" style="288" bestFit="1" customWidth="1"/>
    <col min="7431" max="7431" width="5.6640625" style="288" customWidth="1"/>
    <col min="7432" max="7432" width="8.6640625" style="288" bestFit="1" customWidth="1"/>
    <col min="7433" max="7433" width="8.33203125" style="288" customWidth="1"/>
    <col min="7434" max="7436" width="9.06640625" style="288"/>
    <col min="7437" max="7437" width="12.33203125" style="288" bestFit="1" customWidth="1"/>
    <col min="7438" max="7439" width="9.06640625" style="288"/>
    <col min="7440" max="7440" width="6.06640625" style="288" bestFit="1" customWidth="1"/>
    <col min="7441" max="7681" width="9.06640625" style="288"/>
    <col min="7682" max="7682" width="7.06640625" style="288" bestFit="1" customWidth="1"/>
    <col min="7683" max="7683" width="6.9296875" style="288" customWidth="1"/>
    <col min="7684" max="7684" width="9.06640625" style="288"/>
    <col min="7685" max="7685" width="4.9296875" style="288" bestFit="1" customWidth="1"/>
    <col min="7686" max="7686" width="5.6640625" style="288" bestFit="1" customWidth="1"/>
    <col min="7687" max="7687" width="5.6640625" style="288" customWidth="1"/>
    <col min="7688" max="7688" width="8.6640625" style="288" bestFit="1" customWidth="1"/>
    <col min="7689" max="7689" width="8.33203125" style="288" customWidth="1"/>
    <col min="7690" max="7692" width="9.06640625" style="288"/>
    <col min="7693" max="7693" width="12.33203125" style="288" bestFit="1" customWidth="1"/>
    <col min="7694" max="7695" width="9.06640625" style="288"/>
    <col min="7696" max="7696" width="6.06640625" style="288" bestFit="1" customWidth="1"/>
    <col min="7697" max="7937" width="9.06640625" style="288"/>
    <col min="7938" max="7938" width="7.06640625" style="288" bestFit="1" customWidth="1"/>
    <col min="7939" max="7939" width="6.9296875" style="288" customWidth="1"/>
    <col min="7940" max="7940" width="9.06640625" style="288"/>
    <col min="7941" max="7941" width="4.9296875" style="288" bestFit="1" customWidth="1"/>
    <col min="7942" max="7942" width="5.6640625" style="288" bestFit="1" customWidth="1"/>
    <col min="7943" max="7943" width="5.6640625" style="288" customWidth="1"/>
    <col min="7944" max="7944" width="8.6640625" style="288" bestFit="1" customWidth="1"/>
    <col min="7945" max="7945" width="8.33203125" style="288" customWidth="1"/>
    <col min="7946" max="7948" width="9.06640625" style="288"/>
    <col min="7949" max="7949" width="12.33203125" style="288" bestFit="1" customWidth="1"/>
    <col min="7950" max="7951" width="9.06640625" style="288"/>
    <col min="7952" max="7952" width="6.06640625" style="288" bestFit="1" customWidth="1"/>
    <col min="7953" max="8193" width="9.06640625" style="288"/>
    <col min="8194" max="8194" width="7.06640625" style="288" bestFit="1" customWidth="1"/>
    <col min="8195" max="8195" width="6.9296875" style="288" customWidth="1"/>
    <col min="8196" max="8196" width="9.06640625" style="288"/>
    <col min="8197" max="8197" width="4.9296875" style="288" bestFit="1" customWidth="1"/>
    <col min="8198" max="8198" width="5.6640625" style="288" bestFit="1" customWidth="1"/>
    <col min="8199" max="8199" width="5.6640625" style="288" customWidth="1"/>
    <col min="8200" max="8200" width="8.6640625" style="288" bestFit="1" customWidth="1"/>
    <col min="8201" max="8201" width="8.33203125" style="288" customWidth="1"/>
    <col min="8202" max="8204" width="9.06640625" style="288"/>
    <col min="8205" max="8205" width="12.33203125" style="288" bestFit="1" customWidth="1"/>
    <col min="8206" max="8207" width="9.06640625" style="288"/>
    <col min="8208" max="8208" width="6.06640625" style="288" bestFit="1" customWidth="1"/>
    <col min="8209" max="8449" width="9.06640625" style="288"/>
    <col min="8450" max="8450" width="7.06640625" style="288" bestFit="1" customWidth="1"/>
    <col min="8451" max="8451" width="6.9296875" style="288" customWidth="1"/>
    <col min="8452" max="8452" width="9.06640625" style="288"/>
    <col min="8453" max="8453" width="4.9296875" style="288" bestFit="1" customWidth="1"/>
    <col min="8454" max="8454" width="5.6640625" style="288" bestFit="1" customWidth="1"/>
    <col min="8455" max="8455" width="5.6640625" style="288" customWidth="1"/>
    <col min="8456" max="8456" width="8.6640625" style="288" bestFit="1" customWidth="1"/>
    <col min="8457" max="8457" width="8.33203125" style="288" customWidth="1"/>
    <col min="8458" max="8460" width="9.06640625" style="288"/>
    <col min="8461" max="8461" width="12.33203125" style="288" bestFit="1" customWidth="1"/>
    <col min="8462" max="8463" width="9.06640625" style="288"/>
    <col min="8464" max="8464" width="6.06640625" style="288" bestFit="1" customWidth="1"/>
    <col min="8465" max="8705" width="9.06640625" style="288"/>
    <col min="8706" max="8706" width="7.06640625" style="288" bestFit="1" customWidth="1"/>
    <col min="8707" max="8707" width="6.9296875" style="288" customWidth="1"/>
    <col min="8708" max="8708" width="9.06640625" style="288"/>
    <col min="8709" max="8709" width="4.9296875" style="288" bestFit="1" customWidth="1"/>
    <col min="8710" max="8710" width="5.6640625" style="288" bestFit="1" customWidth="1"/>
    <col min="8711" max="8711" width="5.6640625" style="288" customWidth="1"/>
    <col min="8712" max="8712" width="8.6640625" style="288" bestFit="1" customWidth="1"/>
    <col min="8713" max="8713" width="8.33203125" style="288" customWidth="1"/>
    <col min="8714" max="8716" width="9.06640625" style="288"/>
    <col min="8717" max="8717" width="12.33203125" style="288" bestFit="1" customWidth="1"/>
    <col min="8718" max="8719" width="9.06640625" style="288"/>
    <col min="8720" max="8720" width="6.06640625" style="288" bestFit="1" customWidth="1"/>
    <col min="8721" max="8961" width="9.06640625" style="288"/>
    <col min="8962" max="8962" width="7.06640625" style="288" bestFit="1" customWidth="1"/>
    <col min="8963" max="8963" width="6.9296875" style="288" customWidth="1"/>
    <col min="8964" max="8964" width="9.06640625" style="288"/>
    <col min="8965" max="8965" width="4.9296875" style="288" bestFit="1" customWidth="1"/>
    <col min="8966" max="8966" width="5.6640625" style="288" bestFit="1" customWidth="1"/>
    <col min="8967" max="8967" width="5.6640625" style="288" customWidth="1"/>
    <col min="8968" max="8968" width="8.6640625" style="288" bestFit="1" customWidth="1"/>
    <col min="8969" max="8969" width="8.33203125" style="288" customWidth="1"/>
    <col min="8970" max="8972" width="9.06640625" style="288"/>
    <col min="8973" max="8973" width="12.33203125" style="288" bestFit="1" customWidth="1"/>
    <col min="8974" max="8975" width="9.06640625" style="288"/>
    <col min="8976" max="8976" width="6.06640625" style="288" bestFit="1" customWidth="1"/>
    <col min="8977" max="9217" width="9.06640625" style="288"/>
    <col min="9218" max="9218" width="7.06640625" style="288" bestFit="1" customWidth="1"/>
    <col min="9219" max="9219" width="6.9296875" style="288" customWidth="1"/>
    <col min="9220" max="9220" width="9.06640625" style="288"/>
    <col min="9221" max="9221" width="4.9296875" style="288" bestFit="1" customWidth="1"/>
    <col min="9222" max="9222" width="5.6640625" style="288" bestFit="1" customWidth="1"/>
    <col min="9223" max="9223" width="5.6640625" style="288" customWidth="1"/>
    <col min="9224" max="9224" width="8.6640625" style="288" bestFit="1" customWidth="1"/>
    <col min="9225" max="9225" width="8.33203125" style="288" customWidth="1"/>
    <col min="9226" max="9228" width="9.06640625" style="288"/>
    <col min="9229" max="9229" width="12.33203125" style="288" bestFit="1" customWidth="1"/>
    <col min="9230" max="9231" width="9.06640625" style="288"/>
    <col min="9232" max="9232" width="6.06640625" style="288" bestFit="1" customWidth="1"/>
    <col min="9233" max="9473" width="9.06640625" style="288"/>
    <col min="9474" max="9474" width="7.06640625" style="288" bestFit="1" customWidth="1"/>
    <col min="9475" max="9475" width="6.9296875" style="288" customWidth="1"/>
    <col min="9476" max="9476" width="9.06640625" style="288"/>
    <col min="9477" max="9477" width="4.9296875" style="288" bestFit="1" customWidth="1"/>
    <col min="9478" max="9478" width="5.6640625" style="288" bestFit="1" customWidth="1"/>
    <col min="9479" max="9479" width="5.6640625" style="288" customWidth="1"/>
    <col min="9480" max="9480" width="8.6640625" style="288" bestFit="1" customWidth="1"/>
    <col min="9481" max="9481" width="8.33203125" style="288" customWidth="1"/>
    <col min="9482" max="9484" width="9.06640625" style="288"/>
    <col min="9485" max="9485" width="12.33203125" style="288" bestFit="1" customWidth="1"/>
    <col min="9486" max="9487" width="9.06640625" style="288"/>
    <col min="9488" max="9488" width="6.06640625" style="288" bestFit="1" customWidth="1"/>
    <col min="9489" max="9729" width="9.06640625" style="288"/>
    <col min="9730" max="9730" width="7.06640625" style="288" bestFit="1" customWidth="1"/>
    <col min="9731" max="9731" width="6.9296875" style="288" customWidth="1"/>
    <col min="9732" max="9732" width="9.06640625" style="288"/>
    <col min="9733" max="9733" width="4.9296875" style="288" bestFit="1" customWidth="1"/>
    <col min="9734" max="9734" width="5.6640625" style="288" bestFit="1" customWidth="1"/>
    <col min="9735" max="9735" width="5.6640625" style="288" customWidth="1"/>
    <col min="9736" max="9736" width="8.6640625" style="288" bestFit="1" customWidth="1"/>
    <col min="9737" max="9737" width="8.33203125" style="288" customWidth="1"/>
    <col min="9738" max="9740" width="9.06640625" style="288"/>
    <col min="9741" max="9741" width="12.33203125" style="288" bestFit="1" customWidth="1"/>
    <col min="9742" max="9743" width="9.06640625" style="288"/>
    <col min="9744" max="9744" width="6.06640625" style="288" bestFit="1" customWidth="1"/>
    <col min="9745" max="9985" width="9.06640625" style="288"/>
    <col min="9986" max="9986" width="7.06640625" style="288" bestFit="1" customWidth="1"/>
    <col min="9987" max="9987" width="6.9296875" style="288" customWidth="1"/>
    <col min="9988" max="9988" width="9.06640625" style="288"/>
    <col min="9989" max="9989" width="4.9296875" style="288" bestFit="1" customWidth="1"/>
    <col min="9990" max="9990" width="5.6640625" style="288" bestFit="1" customWidth="1"/>
    <col min="9991" max="9991" width="5.6640625" style="288" customWidth="1"/>
    <col min="9992" max="9992" width="8.6640625" style="288" bestFit="1" customWidth="1"/>
    <col min="9993" max="9993" width="8.33203125" style="288" customWidth="1"/>
    <col min="9994" max="9996" width="9.06640625" style="288"/>
    <col min="9997" max="9997" width="12.33203125" style="288" bestFit="1" customWidth="1"/>
    <col min="9998" max="9999" width="9.06640625" style="288"/>
    <col min="10000" max="10000" width="6.06640625" style="288" bestFit="1" customWidth="1"/>
    <col min="10001" max="10241" width="9.06640625" style="288"/>
    <col min="10242" max="10242" width="7.06640625" style="288" bestFit="1" customWidth="1"/>
    <col min="10243" max="10243" width="6.9296875" style="288" customWidth="1"/>
    <col min="10244" max="10244" width="9.06640625" style="288"/>
    <col min="10245" max="10245" width="4.9296875" style="288" bestFit="1" customWidth="1"/>
    <col min="10246" max="10246" width="5.6640625" style="288" bestFit="1" customWidth="1"/>
    <col min="10247" max="10247" width="5.6640625" style="288" customWidth="1"/>
    <col min="10248" max="10248" width="8.6640625" style="288" bestFit="1" customWidth="1"/>
    <col min="10249" max="10249" width="8.33203125" style="288" customWidth="1"/>
    <col min="10250" max="10252" width="9.06640625" style="288"/>
    <col min="10253" max="10253" width="12.33203125" style="288" bestFit="1" customWidth="1"/>
    <col min="10254" max="10255" width="9.06640625" style="288"/>
    <col min="10256" max="10256" width="6.06640625" style="288" bestFit="1" customWidth="1"/>
    <col min="10257" max="10497" width="9.06640625" style="288"/>
    <col min="10498" max="10498" width="7.06640625" style="288" bestFit="1" customWidth="1"/>
    <col min="10499" max="10499" width="6.9296875" style="288" customWidth="1"/>
    <col min="10500" max="10500" width="9.06640625" style="288"/>
    <col min="10501" max="10501" width="4.9296875" style="288" bestFit="1" customWidth="1"/>
    <col min="10502" max="10502" width="5.6640625" style="288" bestFit="1" customWidth="1"/>
    <col min="10503" max="10503" width="5.6640625" style="288" customWidth="1"/>
    <col min="10504" max="10504" width="8.6640625" style="288" bestFit="1" customWidth="1"/>
    <col min="10505" max="10505" width="8.33203125" style="288" customWidth="1"/>
    <col min="10506" max="10508" width="9.06640625" style="288"/>
    <col min="10509" max="10509" width="12.33203125" style="288" bestFit="1" customWidth="1"/>
    <col min="10510" max="10511" width="9.06640625" style="288"/>
    <col min="10512" max="10512" width="6.06640625" style="288" bestFit="1" customWidth="1"/>
    <col min="10513" max="10753" width="9.06640625" style="288"/>
    <col min="10754" max="10754" width="7.06640625" style="288" bestFit="1" customWidth="1"/>
    <col min="10755" max="10755" width="6.9296875" style="288" customWidth="1"/>
    <col min="10756" max="10756" width="9.06640625" style="288"/>
    <col min="10757" max="10757" width="4.9296875" style="288" bestFit="1" customWidth="1"/>
    <col min="10758" max="10758" width="5.6640625" style="288" bestFit="1" customWidth="1"/>
    <col min="10759" max="10759" width="5.6640625" style="288" customWidth="1"/>
    <col min="10760" max="10760" width="8.6640625" style="288" bestFit="1" customWidth="1"/>
    <col min="10761" max="10761" width="8.33203125" style="288" customWidth="1"/>
    <col min="10762" max="10764" width="9.06640625" style="288"/>
    <col min="10765" max="10765" width="12.33203125" style="288" bestFit="1" customWidth="1"/>
    <col min="10766" max="10767" width="9.06640625" style="288"/>
    <col min="10768" max="10768" width="6.06640625" style="288" bestFit="1" customWidth="1"/>
    <col min="10769" max="11009" width="9.06640625" style="288"/>
    <col min="11010" max="11010" width="7.06640625" style="288" bestFit="1" customWidth="1"/>
    <col min="11011" max="11011" width="6.9296875" style="288" customWidth="1"/>
    <col min="11012" max="11012" width="9.06640625" style="288"/>
    <col min="11013" max="11013" width="4.9296875" style="288" bestFit="1" customWidth="1"/>
    <col min="11014" max="11014" width="5.6640625" style="288" bestFit="1" customWidth="1"/>
    <col min="11015" max="11015" width="5.6640625" style="288" customWidth="1"/>
    <col min="11016" max="11016" width="8.6640625" style="288" bestFit="1" customWidth="1"/>
    <col min="11017" max="11017" width="8.33203125" style="288" customWidth="1"/>
    <col min="11018" max="11020" width="9.06640625" style="288"/>
    <col min="11021" max="11021" width="12.33203125" style="288" bestFit="1" customWidth="1"/>
    <col min="11022" max="11023" width="9.06640625" style="288"/>
    <col min="11024" max="11024" width="6.06640625" style="288" bestFit="1" customWidth="1"/>
    <col min="11025" max="11265" width="9.06640625" style="288"/>
    <col min="11266" max="11266" width="7.06640625" style="288" bestFit="1" customWidth="1"/>
    <col min="11267" max="11267" width="6.9296875" style="288" customWidth="1"/>
    <col min="11268" max="11268" width="9.06640625" style="288"/>
    <col min="11269" max="11269" width="4.9296875" style="288" bestFit="1" customWidth="1"/>
    <col min="11270" max="11270" width="5.6640625" style="288" bestFit="1" customWidth="1"/>
    <col min="11271" max="11271" width="5.6640625" style="288" customWidth="1"/>
    <col min="11272" max="11272" width="8.6640625" style="288" bestFit="1" customWidth="1"/>
    <col min="11273" max="11273" width="8.33203125" style="288" customWidth="1"/>
    <col min="11274" max="11276" width="9.06640625" style="288"/>
    <col min="11277" max="11277" width="12.33203125" style="288" bestFit="1" customWidth="1"/>
    <col min="11278" max="11279" width="9.06640625" style="288"/>
    <col min="11280" max="11280" width="6.06640625" style="288" bestFit="1" customWidth="1"/>
    <col min="11281" max="11521" width="9.06640625" style="288"/>
    <col min="11522" max="11522" width="7.06640625" style="288" bestFit="1" customWidth="1"/>
    <col min="11523" max="11523" width="6.9296875" style="288" customWidth="1"/>
    <col min="11524" max="11524" width="9.06640625" style="288"/>
    <col min="11525" max="11525" width="4.9296875" style="288" bestFit="1" customWidth="1"/>
    <col min="11526" max="11526" width="5.6640625" style="288" bestFit="1" customWidth="1"/>
    <col min="11527" max="11527" width="5.6640625" style="288" customWidth="1"/>
    <col min="11528" max="11528" width="8.6640625" style="288" bestFit="1" customWidth="1"/>
    <col min="11529" max="11529" width="8.33203125" style="288" customWidth="1"/>
    <col min="11530" max="11532" width="9.06640625" style="288"/>
    <col min="11533" max="11533" width="12.33203125" style="288" bestFit="1" customWidth="1"/>
    <col min="11534" max="11535" width="9.06640625" style="288"/>
    <col min="11536" max="11536" width="6.06640625" style="288" bestFit="1" customWidth="1"/>
    <col min="11537" max="11777" width="9.06640625" style="288"/>
    <col min="11778" max="11778" width="7.06640625" style="288" bestFit="1" customWidth="1"/>
    <col min="11779" max="11779" width="6.9296875" style="288" customWidth="1"/>
    <col min="11780" max="11780" width="9.06640625" style="288"/>
    <col min="11781" max="11781" width="4.9296875" style="288" bestFit="1" customWidth="1"/>
    <col min="11782" max="11782" width="5.6640625" style="288" bestFit="1" customWidth="1"/>
    <col min="11783" max="11783" width="5.6640625" style="288" customWidth="1"/>
    <col min="11784" max="11784" width="8.6640625" style="288" bestFit="1" customWidth="1"/>
    <col min="11785" max="11785" width="8.33203125" style="288" customWidth="1"/>
    <col min="11786" max="11788" width="9.06640625" style="288"/>
    <col min="11789" max="11789" width="12.33203125" style="288" bestFit="1" customWidth="1"/>
    <col min="11790" max="11791" width="9.06640625" style="288"/>
    <col min="11792" max="11792" width="6.06640625" style="288" bestFit="1" customWidth="1"/>
    <col min="11793" max="12033" width="9.06640625" style="288"/>
    <col min="12034" max="12034" width="7.06640625" style="288" bestFit="1" customWidth="1"/>
    <col min="12035" max="12035" width="6.9296875" style="288" customWidth="1"/>
    <col min="12036" max="12036" width="9.06640625" style="288"/>
    <col min="12037" max="12037" width="4.9296875" style="288" bestFit="1" customWidth="1"/>
    <col min="12038" max="12038" width="5.6640625" style="288" bestFit="1" customWidth="1"/>
    <col min="12039" max="12039" width="5.6640625" style="288" customWidth="1"/>
    <col min="12040" max="12040" width="8.6640625" style="288" bestFit="1" customWidth="1"/>
    <col min="12041" max="12041" width="8.33203125" style="288" customWidth="1"/>
    <col min="12042" max="12044" width="9.06640625" style="288"/>
    <col min="12045" max="12045" width="12.33203125" style="288" bestFit="1" customWidth="1"/>
    <col min="12046" max="12047" width="9.06640625" style="288"/>
    <col min="12048" max="12048" width="6.06640625" style="288" bestFit="1" customWidth="1"/>
    <col min="12049" max="12289" width="9.06640625" style="288"/>
    <col min="12290" max="12290" width="7.06640625" style="288" bestFit="1" customWidth="1"/>
    <col min="12291" max="12291" width="6.9296875" style="288" customWidth="1"/>
    <col min="12292" max="12292" width="9.06640625" style="288"/>
    <col min="12293" max="12293" width="4.9296875" style="288" bestFit="1" customWidth="1"/>
    <col min="12294" max="12294" width="5.6640625" style="288" bestFit="1" customWidth="1"/>
    <col min="12295" max="12295" width="5.6640625" style="288" customWidth="1"/>
    <col min="12296" max="12296" width="8.6640625" style="288" bestFit="1" customWidth="1"/>
    <col min="12297" max="12297" width="8.33203125" style="288" customWidth="1"/>
    <col min="12298" max="12300" width="9.06640625" style="288"/>
    <col min="12301" max="12301" width="12.33203125" style="288" bestFit="1" customWidth="1"/>
    <col min="12302" max="12303" width="9.06640625" style="288"/>
    <col min="12304" max="12304" width="6.06640625" style="288" bestFit="1" customWidth="1"/>
    <col min="12305" max="12545" width="9.06640625" style="288"/>
    <col min="12546" max="12546" width="7.06640625" style="288" bestFit="1" customWidth="1"/>
    <col min="12547" max="12547" width="6.9296875" style="288" customWidth="1"/>
    <col min="12548" max="12548" width="9.06640625" style="288"/>
    <col min="12549" max="12549" width="4.9296875" style="288" bestFit="1" customWidth="1"/>
    <col min="12550" max="12550" width="5.6640625" style="288" bestFit="1" customWidth="1"/>
    <col min="12551" max="12551" width="5.6640625" style="288" customWidth="1"/>
    <col min="12552" max="12552" width="8.6640625" style="288" bestFit="1" customWidth="1"/>
    <col min="12553" max="12553" width="8.33203125" style="288" customWidth="1"/>
    <col min="12554" max="12556" width="9.06640625" style="288"/>
    <col min="12557" max="12557" width="12.33203125" style="288" bestFit="1" customWidth="1"/>
    <col min="12558" max="12559" width="9.06640625" style="288"/>
    <col min="12560" max="12560" width="6.06640625" style="288" bestFit="1" customWidth="1"/>
    <col min="12561" max="12801" width="9.06640625" style="288"/>
    <col min="12802" max="12802" width="7.06640625" style="288" bestFit="1" customWidth="1"/>
    <col min="12803" max="12803" width="6.9296875" style="288" customWidth="1"/>
    <col min="12804" max="12804" width="9.06640625" style="288"/>
    <col min="12805" max="12805" width="4.9296875" style="288" bestFit="1" customWidth="1"/>
    <col min="12806" max="12806" width="5.6640625" style="288" bestFit="1" customWidth="1"/>
    <col min="12807" max="12807" width="5.6640625" style="288" customWidth="1"/>
    <col min="12808" max="12808" width="8.6640625" style="288" bestFit="1" customWidth="1"/>
    <col min="12809" max="12809" width="8.33203125" style="288" customWidth="1"/>
    <col min="12810" max="12812" width="9.06640625" style="288"/>
    <col min="12813" max="12813" width="12.33203125" style="288" bestFit="1" customWidth="1"/>
    <col min="12814" max="12815" width="9.06640625" style="288"/>
    <col min="12816" max="12816" width="6.06640625" style="288" bestFit="1" customWidth="1"/>
    <col min="12817" max="13057" width="9.06640625" style="288"/>
    <col min="13058" max="13058" width="7.06640625" style="288" bestFit="1" customWidth="1"/>
    <col min="13059" max="13059" width="6.9296875" style="288" customWidth="1"/>
    <col min="13060" max="13060" width="9.06640625" style="288"/>
    <col min="13061" max="13061" width="4.9296875" style="288" bestFit="1" customWidth="1"/>
    <col min="13062" max="13062" width="5.6640625" style="288" bestFit="1" customWidth="1"/>
    <col min="13063" max="13063" width="5.6640625" style="288" customWidth="1"/>
    <col min="13064" max="13064" width="8.6640625" style="288" bestFit="1" customWidth="1"/>
    <col min="13065" max="13065" width="8.33203125" style="288" customWidth="1"/>
    <col min="13066" max="13068" width="9.06640625" style="288"/>
    <col min="13069" max="13069" width="12.33203125" style="288" bestFit="1" customWidth="1"/>
    <col min="13070" max="13071" width="9.06640625" style="288"/>
    <col min="13072" max="13072" width="6.06640625" style="288" bestFit="1" customWidth="1"/>
    <col min="13073" max="13313" width="9.06640625" style="288"/>
    <col min="13314" max="13314" width="7.06640625" style="288" bestFit="1" customWidth="1"/>
    <col min="13315" max="13315" width="6.9296875" style="288" customWidth="1"/>
    <col min="13316" max="13316" width="9.06640625" style="288"/>
    <col min="13317" max="13317" width="4.9296875" style="288" bestFit="1" customWidth="1"/>
    <col min="13318" max="13318" width="5.6640625" style="288" bestFit="1" customWidth="1"/>
    <col min="13319" max="13319" width="5.6640625" style="288" customWidth="1"/>
    <col min="13320" max="13320" width="8.6640625" style="288" bestFit="1" customWidth="1"/>
    <col min="13321" max="13321" width="8.33203125" style="288" customWidth="1"/>
    <col min="13322" max="13324" width="9.06640625" style="288"/>
    <col min="13325" max="13325" width="12.33203125" style="288" bestFit="1" customWidth="1"/>
    <col min="13326" max="13327" width="9.06640625" style="288"/>
    <col min="13328" max="13328" width="6.06640625" style="288" bestFit="1" customWidth="1"/>
    <col min="13329" max="13569" width="9.06640625" style="288"/>
    <col min="13570" max="13570" width="7.06640625" style="288" bestFit="1" customWidth="1"/>
    <col min="13571" max="13571" width="6.9296875" style="288" customWidth="1"/>
    <col min="13572" max="13572" width="9.06640625" style="288"/>
    <col min="13573" max="13573" width="4.9296875" style="288" bestFit="1" customWidth="1"/>
    <col min="13574" max="13574" width="5.6640625" style="288" bestFit="1" customWidth="1"/>
    <col min="13575" max="13575" width="5.6640625" style="288" customWidth="1"/>
    <col min="13576" max="13576" width="8.6640625" style="288" bestFit="1" customWidth="1"/>
    <col min="13577" max="13577" width="8.33203125" style="288" customWidth="1"/>
    <col min="13578" max="13580" width="9.06640625" style="288"/>
    <col min="13581" max="13581" width="12.33203125" style="288" bestFit="1" customWidth="1"/>
    <col min="13582" max="13583" width="9.06640625" style="288"/>
    <col min="13584" max="13584" width="6.06640625" style="288" bestFit="1" customWidth="1"/>
    <col min="13585" max="13825" width="9.06640625" style="288"/>
    <col min="13826" max="13826" width="7.06640625" style="288" bestFit="1" customWidth="1"/>
    <col min="13827" max="13827" width="6.9296875" style="288" customWidth="1"/>
    <col min="13828" max="13828" width="9.06640625" style="288"/>
    <col min="13829" max="13829" width="4.9296875" style="288" bestFit="1" customWidth="1"/>
    <col min="13830" max="13830" width="5.6640625" style="288" bestFit="1" customWidth="1"/>
    <col min="13831" max="13831" width="5.6640625" style="288" customWidth="1"/>
    <col min="13832" max="13832" width="8.6640625" style="288" bestFit="1" customWidth="1"/>
    <col min="13833" max="13833" width="8.33203125" style="288" customWidth="1"/>
    <col min="13834" max="13836" width="9.06640625" style="288"/>
    <col min="13837" max="13837" width="12.33203125" style="288" bestFit="1" customWidth="1"/>
    <col min="13838" max="13839" width="9.06640625" style="288"/>
    <col min="13840" max="13840" width="6.06640625" style="288" bestFit="1" customWidth="1"/>
    <col min="13841" max="14081" width="9.06640625" style="288"/>
    <col min="14082" max="14082" width="7.06640625" style="288" bestFit="1" customWidth="1"/>
    <col min="14083" max="14083" width="6.9296875" style="288" customWidth="1"/>
    <col min="14084" max="14084" width="9.06640625" style="288"/>
    <col min="14085" max="14085" width="4.9296875" style="288" bestFit="1" customWidth="1"/>
    <col min="14086" max="14086" width="5.6640625" style="288" bestFit="1" customWidth="1"/>
    <col min="14087" max="14087" width="5.6640625" style="288" customWidth="1"/>
    <col min="14088" max="14088" width="8.6640625" style="288" bestFit="1" customWidth="1"/>
    <col min="14089" max="14089" width="8.33203125" style="288" customWidth="1"/>
    <col min="14090" max="14092" width="9.06640625" style="288"/>
    <col min="14093" max="14093" width="12.33203125" style="288" bestFit="1" customWidth="1"/>
    <col min="14094" max="14095" width="9.06640625" style="288"/>
    <col min="14096" max="14096" width="6.06640625" style="288" bestFit="1" customWidth="1"/>
    <col min="14097" max="14337" width="9.06640625" style="288"/>
    <col min="14338" max="14338" width="7.06640625" style="288" bestFit="1" customWidth="1"/>
    <col min="14339" max="14339" width="6.9296875" style="288" customWidth="1"/>
    <col min="14340" max="14340" width="9.06640625" style="288"/>
    <col min="14341" max="14341" width="4.9296875" style="288" bestFit="1" customWidth="1"/>
    <col min="14342" max="14342" width="5.6640625" style="288" bestFit="1" customWidth="1"/>
    <col min="14343" max="14343" width="5.6640625" style="288" customWidth="1"/>
    <col min="14344" max="14344" width="8.6640625" style="288" bestFit="1" customWidth="1"/>
    <col min="14345" max="14345" width="8.33203125" style="288" customWidth="1"/>
    <col min="14346" max="14348" width="9.06640625" style="288"/>
    <col min="14349" max="14349" width="12.33203125" style="288" bestFit="1" customWidth="1"/>
    <col min="14350" max="14351" width="9.06640625" style="288"/>
    <col min="14352" max="14352" width="6.06640625" style="288" bestFit="1" customWidth="1"/>
    <col min="14353" max="14593" width="9.06640625" style="288"/>
    <col min="14594" max="14594" width="7.06640625" style="288" bestFit="1" customWidth="1"/>
    <col min="14595" max="14595" width="6.9296875" style="288" customWidth="1"/>
    <col min="14596" max="14596" width="9.06640625" style="288"/>
    <col min="14597" max="14597" width="4.9296875" style="288" bestFit="1" customWidth="1"/>
    <col min="14598" max="14598" width="5.6640625" style="288" bestFit="1" customWidth="1"/>
    <col min="14599" max="14599" width="5.6640625" style="288" customWidth="1"/>
    <col min="14600" max="14600" width="8.6640625" style="288" bestFit="1" customWidth="1"/>
    <col min="14601" max="14601" width="8.33203125" style="288" customWidth="1"/>
    <col min="14602" max="14604" width="9.06640625" style="288"/>
    <col min="14605" max="14605" width="12.33203125" style="288" bestFit="1" customWidth="1"/>
    <col min="14606" max="14607" width="9.06640625" style="288"/>
    <col min="14608" max="14608" width="6.06640625" style="288" bestFit="1" customWidth="1"/>
    <col min="14609" max="14849" width="9.06640625" style="288"/>
    <col min="14850" max="14850" width="7.06640625" style="288" bestFit="1" customWidth="1"/>
    <col min="14851" max="14851" width="6.9296875" style="288" customWidth="1"/>
    <col min="14852" max="14852" width="9.06640625" style="288"/>
    <col min="14853" max="14853" width="4.9296875" style="288" bestFit="1" customWidth="1"/>
    <col min="14854" max="14854" width="5.6640625" style="288" bestFit="1" customWidth="1"/>
    <col min="14855" max="14855" width="5.6640625" style="288" customWidth="1"/>
    <col min="14856" max="14856" width="8.6640625" style="288" bestFit="1" customWidth="1"/>
    <col min="14857" max="14857" width="8.33203125" style="288" customWidth="1"/>
    <col min="14858" max="14860" width="9.06640625" style="288"/>
    <col min="14861" max="14861" width="12.33203125" style="288" bestFit="1" customWidth="1"/>
    <col min="14862" max="14863" width="9.06640625" style="288"/>
    <col min="14864" max="14864" width="6.06640625" style="288" bestFit="1" customWidth="1"/>
    <col min="14865" max="15105" width="9.06640625" style="288"/>
    <col min="15106" max="15106" width="7.06640625" style="288" bestFit="1" customWidth="1"/>
    <col min="15107" max="15107" width="6.9296875" style="288" customWidth="1"/>
    <col min="15108" max="15108" width="9.06640625" style="288"/>
    <col min="15109" max="15109" width="4.9296875" style="288" bestFit="1" customWidth="1"/>
    <col min="15110" max="15110" width="5.6640625" style="288" bestFit="1" customWidth="1"/>
    <col min="15111" max="15111" width="5.6640625" style="288" customWidth="1"/>
    <col min="15112" max="15112" width="8.6640625" style="288" bestFit="1" customWidth="1"/>
    <col min="15113" max="15113" width="8.33203125" style="288" customWidth="1"/>
    <col min="15114" max="15116" width="9.06640625" style="288"/>
    <col min="15117" max="15117" width="12.33203125" style="288" bestFit="1" customWidth="1"/>
    <col min="15118" max="15119" width="9.06640625" style="288"/>
    <col min="15120" max="15120" width="6.06640625" style="288" bestFit="1" customWidth="1"/>
    <col min="15121" max="15361" width="9.06640625" style="288"/>
    <col min="15362" max="15362" width="7.06640625" style="288" bestFit="1" customWidth="1"/>
    <col min="15363" max="15363" width="6.9296875" style="288" customWidth="1"/>
    <col min="15364" max="15364" width="9.06640625" style="288"/>
    <col min="15365" max="15365" width="4.9296875" style="288" bestFit="1" customWidth="1"/>
    <col min="15366" max="15366" width="5.6640625" style="288" bestFit="1" customWidth="1"/>
    <col min="15367" max="15367" width="5.6640625" style="288" customWidth="1"/>
    <col min="15368" max="15368" width="8.6640625" style="288" bestFit="1" customWidth="1"/>
    <col min="15369" max="15369" width="8.33203125" style="288" customWidth="1"/>
    <col min="15370" max="15372" width="9.06640625" style="288"/>
    <col min="15373" max="15373" width="12.33203125" style="288" bestFit="1" customWidth="1"/>
    <col min="15374" max="15375" width="9.06640625" style="288"/>
    <col min="15376" max="15376" width="6.06640625" style="288" bestFit="1" customWidth="1"/>
    <col min="15377" max="15617" width="9.06640625" style="288"/>
    <col min="15618" max="15618" width="7.06640625" style="288" bestFit="1" customWidth="1"/>
    <col min="15619" max="15619" width="6.9296875" style="288" customWidth="1"/>
    <col min="15620" max="15620" width="9.06640625" style="288"/>
    <col min="15621" max="15621" width="4.9296875" style="288" bestFit="1" customWidth="1"/>
    <col min="15622" max="15622" width="5.6640625" style="288" bestFit="1" customWidth="1"/>
    <col min="15623" max="15623" width="5.6640625" style="288" customWidth="1"/>
    <col min="15624" max="15624" width="8.6640625" style="288" bestFit="1" customWidth="1"/>
    <col min="15625" max="15625" width="8.33203125" style="288" customWidth="1"/>
    <col min="15626" max="15628" width="9.06640625" style="288"/>
    <col min="15629" max="15629" width="12.33203125" style="288" bestFit="1" customWidth="1"/>
    <col min="15630" max="15631" width="9.06640625" style="288"/>
    <col min="15632" max="15632" width="6.06640625" style="288" bestFit="1" customWidth="1"/>
    <col min="15633" max="15873" width="9.06640625" style="288"/>
    <col min="15874" max="15874" width="7.06640625" style="288" bestFit="1" customWidth="1"/>
    <col min="15875" max="15875" width="6.9296875" style="288" customWidth="1"/>
    <col min="15876" max="15876" width="9.06640625" style="288"/>
    <col min="15877" max="15877" width="4.9296875" style="288" bestFit="1" customWidth="1"/>
    <col min="15878" max="15878" width="5.6640625" style="288" bestFit="1" customWidth="1"/>
    <col min="15879" max="15879" width="5.6640625" style="288" customWidth="1"/>
    <col min="15880" max="15880" width="8.6640625" style="288" bestFit="1" customWidth="1"/>
    <col min="15881" max="15881" width="8.33203125" style="288" customWidth="1"/>
    <col min="15882" max="15884" width="9.06640625" style="288"/>
    <col min="15885" max="15885" width="12.33203125" style="288" bestFit="1" customWidth="1"/>
    <col min="15886" max="15887" width="9.06640625" style="288"/>
    <col min="15888" max="15888" width="6.06640625" style="288" bestFit="1" customWidth="1"/>
    <col min="15889" max="16129" width="9.06640625" style="288"/>
    <col min="16130" max="16130" width="7.06640625" style="288" bestFit="1" customWidth="1"/>
    <col min="16131" max="16131" width="6.9296875" style="288" customWidth="1"/>
    <col min="16132" max="16132" width="9.06640625" style="288"/>
    <col min="16133" max="16133" width="4.9296875" style="288" bestFit="1" customWidth="1"/>
    <col min="16134" max="16134" width="5.6640625" style="288" bestFit="1" customWidth="1"/>
    <col min="16135" max="16135" width="5.6640625" style="288" customWidth="1"/>
    <col min="16136" max="16136" width="8.6640625" style="288" bestFit="1" customWidth="1"/>
    <col min="16137" max="16137" width="8.33203125" style="288" customWidth="1"/>
    <col min="16138" max="16140" width="9.06640625" style="288"/>
    <col min="16141" max="16141" width="12.33203125" style="288" bestFit="1" customWidth="1"/>
    <col min="16142" max="16143" width="9.06640625" style="288"/>
    <col min="16144" max="16144" width="6.06640625" style="288" bestFit="1" customWidth="1"/>
    <col min="16145" max="16384" width="9.06640625" style="288"/>
  </cols>
  <sheetData>
    <row r="1" spans="1:16">
      <c r="B1" s="289" t="s">
        <v>324</v>
      </c>
      <c r="C1" s="290">
        <f>(5/8)%</f>
        <v>6.2500000000000003E-3</v>
      </c>
      <c r="D1" s="289" t="s">
        <v>325</v>
      </c>
      <c r="E1" s="291"/>
    </row>
    <row r="2" spans="1:16">
      <c r="B2" s="289" t="s">
        <v>82</v>
      </c>
      <c r="C2" s="292">
        <v>1.075683E-2</v>
      </c>
      <c r="D2" s="289" t="s">
        <v>116</v>
      </c>
      <c r="E2" s="291"/>
      <c r="M2" s="293"/>
      <c r="P2" s="294"/>
    </row>
    <row r="3" spans="1:16">
      <c r="B3" s="289" t="s">
        <v>326</v>
      </c>
      <c r="C3" s="295">
        <v>45434</v>
      </c>
      <c r="D3" s="289" t="s">
        <v>117</v>
      </c>
      <c r="E3" s="291"/>
    </row>
    <row r="4" spans="1:16">
      <c r="B4" s="289" t="s">
        <v>327</v>
      </c>
      <c r="C4" s="296">
        <v>45539</v>
      </c>
    </row>
    <row r="5" spans="1:16">
      <c r="B5" s="289" t="s">
        <v>328</v>
      </c>
      <c r="C5" s="295">
        <v>45618</v>
      </c>
      <c r="H5" s="297"/>
    </row>
    <row r="6" spans="1:16">
      <c r="M6" s="289"/>
    </row>
    <row r="7" spans="1:16">
      <c r="B7" s="298" t="s">
        <v>329</v>
      </c>
      <c r="C7" s="298" t="s">
        <v>330</v>
      </c>
      <c r="D7" s="298" t="s">
        <v>331</v>
      </c>
      <c r="M7" s="289"/>
      <c r="N7" s="299"/>
    </row>
    <row r="8" spans="1:16">
      <c r="A8" s="295">
        <v>45618</v>
      </c>
      <c r="B8" s="288">
        <f>(C5-C4)/(C5-C3)</f>
        <v>0.42934782608695654</v>
      </c>
      <c r="C8" s="288">
        <f t="shared" ref="C8:C43" si="0">100*$C$1/2</f>
        <v>0.3125</v>
      </c>
      <c r="D8" s="288">
        <f t="shared" ref="D8:D44" si="1">C8/(1+$C$2/2)^B8</f>
        <v>0.31178113340773611</v>
      </c>
      <c r="M8" s="289"/>
    </row>
    <row r="9" spans="1:16">
      <c r="A9" s="295">
        <v>45799</v>
      </c>
      <c r="B9" s="288">
        <f>1+B8</f>
        <v>1.4293478260869565</v>
      </c>
      <c r="C9" s="288">
        <f t="shared" si="0"/>
        <v>0.3125</v>
      </c>
      <c r="D9" s="288">
        <f t="shared" si="1"/>
        <v>0.31011321583598561</v>
      </c>
      <c r="M9" s="289"/>
    </row>
    <row r="10" spans="1:16">
      <c r="A10" s="295">
        <v>45983</v>
      </c>
      <c r="B10" s="288">
        <f t="shared" ref="B10:B44" si="2">1+B9</f>
        <v>2.4293478260869565</v>
      </c>
      <c r="C10" s="288">
        <f t="shared" si="0"/>
        <v>0.3125</v>
      </c>
      <c r="D10" s="288">
        <f t="shared" si="1"/>
        <v>0.30845422102680176</v>
      </c>
      <c r="M10" s="289"/>
    </row>
    <row r="11" spans="1:16">
      <c r="A11" s="295">
        <v>46164</v>
      </c>
      <c r="B11" s="288">
        <f t="shared" si="2"/>
        <v>3.4293478260869565</v>
      </c>
      <c r="C11" s="288">
        <f t="shared" si="0"/>
        <v>0.3125</v>
      </c>
      <c r="D11" s="288">
        <f t="shared" si="1"/>
        <v>0.30680410124659552</v>
      </c>
      <c r="M11" s="289"/>
    </row>
    <row r="12" spans="1:16">
      <c r="A12" s="295">
        <v>46348</v>
      </c>
      <c r="B12" s="288">
        <f t="shared" si="2"/>
        <v>4.429347826086957</v>
      </c>
      <c r="C12" s="288">
        <f t="shared" si="0"/>
        <v>0.3125</v>
      </c>
      <c r="D12" s="288">
        <f t="shared" si="1"/>
        <v>0.30516280901713561</v>
      </c>
      <c r="M12" s="289"/>
    </row>
    <row r="13" spans="1:16">
      <c r="A13" s="295">
        <v>46529</v>
      </c>
      <c r="B13" s="288">
        <f t="shared" si="2"/>
        <v>5.429347826086957</v>
      </c>
      <c r="C13" s="288">
        <f t="shared" si="0"/>
        <v>0.3125</v>
      </c>
      <c r="D13" s="288">
        <f t="shared" si="1"/>
        <v>0.30353029711418217</v>
      </c>
      <c r="M13" s="289"/>
      <c r="P13" s="293"/>
    </row>
    <row r="14" spans="1:16">
      <c r="A14" s="295">
        <v>46713</v>
      </c>
      <c r="B14" s="288">
        <f t="shared" si="2"/>
        <v>6.429347826086957</v>
      </c>
      <c r="C14" s="288">
        <f t="shared" si="0"/>
        <v>0.3125</v>
      </c>
      <c r="D14" s="288">
        <f t="shared" si="1"/>
        <v>0.30190651856612832</v>
      </c>
      <c r="M14" s="289"/>
      <c r="P14" s="293"/>
    </row>
    <row r="15" spans="1:16">
      <c r="A15" s="295">
        <v>46895</v>
      </c>
      <c r="B15" s="288">
        <f t="shared" si="2"/>
        <v>7.429347826086957</v>
      </c>
      <c r="C15" s="288">
        <f t="shared" si="0"/>
        <v>0.3125</v>
      </c>
      <c r="D15" s="288">
        <f t="shared" si="1"/>
        <v>0.30029142665264835</v>
      </c>
      <c r="M15" s="289"/>
      <c r="P15" s="293"/>
    </row>
    <row r="16" spans="1:16">
      <c r="A16" s="295">
        <v>47079</v>
      </c>
      <c r="B16" s="288">
        <f t="shared" si="2"/>
        <v>8.429347826086957</v>
      </c>
      <c r="C16" s="288">
        <f t="shared" si="0"/>
        <v>0.3125</v>
      </c>
      <c r="D16" s="288">
        <f t="shared" si="1"/>
        <v>0.29868497490335355</v>
      </c>
      <c r="M16" s="289"/>
      <c r="P16" s="293"/>
    </row>
    <row r="17" spans="1:16">
      <c r="A17" s="295">
        <v>47260</v>
      </c>
      <c r="B17" s="288">
        <f t="shared" si="2"/>
        <v>9.429347826086957</v>
      </c>
      <c r="C17" s="288">
        <f t="shared" si="0"/>
        <v>0.3125</v>
      </c>
      <c r="D17" s="288">
        <f t="shared" si="1"/>
        <v>0.29708711709645519</v>
      </c>
      <c r="M17" s="289"/>
      <c r="P17" s="293"/>
    </row>
    <row r="18" spans="1:16">
      <c r="A18" s="295">
        <v>47444</v>
      </c>
      <c r="B18" s="288">
        <f t="shared" si="2"/>
        <v>10.429347826086957</v>
      </c>
      <c r="C18" s="288">
        <f t="shared" si="0"/>
        <v>0.3125</v>
      </c>
      <c r="D18" s="288">
        <f t="shared" si="1"/>
        <v>0.29549780725743469</v>
      </c>
      <c r="M18" s="289"/>
      <c r="P18" s="293"/>
    </row>
    <row r="19" spans="1:16">
      <c r="A19" s="295">
        <v>47625</v>
      </c>
      <c r="B19" s="288">
        <f t="shared" si="2"/>
        <v>11.429347826086957</v>
      </c>
      <c r="C19" s="288">
        <f t="shared" si="0"/>
        <v>0.3125</v>
      </c>
      <c r="D19" s="288">
        <f t="shared" si="1"/>
        <v>0.29391699965772061</v>
      </c>
    </row>
    <row r="20" spans="1:16">
      <c r="A20" s="295">
        <v>47809</v>
      </c>
      <c r="B20" s="288">
        <f t="shared" si="2"/>
        <v>12.429347826086957</v>
      </c>
      <c r="C20" s="288">
        <f t="shared" si="0"/>
        <v>0.3125</v>
      </c>
      <c r="D20" s="288">
        <f t="shared" si="1"/>
        <v>0.29234464881337302</v>
      </c>
    </row>
    <row r="21" spans="1:16">
      <c r="A21" s="295">
        <v>47990</v>
      </c>
      <c r="B21" s="288">
        <f t="shared" si="2"/>
        <v>13.429347826086957</v>
      </c>
      <c r="C21" s="288">
        <f t="shared" si="0"/>
        <v>0.3125</v>
      </c>
      <c r="D21" s="288">
        <f t="shared" si="1"/>
        <v>0.29078070948377482</v>
      </c>
    </row>
    <row r="22" spans="1:16">
      <c r="A22" s="295">
        <v>48174</v>
      </c>
      <c r="B22" s="288">
        <f t="shared" si="2"/>
        <v>14.429347826086957</v>
      </c>
      <c r="C22" s="288">
        <f t="shared" si="0"/>
        <v>0.3125</v>
      </c>
      <c r="D22" s="288">
        <f t="shared" si="1"/>
        <v>0.28922513667033006</v>
      </c>
    </row>
    <row r="23" spans="1:16">
      <c r="A23" s="295">
        <v>48356</v>
      </c>
      <c r="B23" s="288">
        <f t="shared" si="2"/>
        <v>15.429347826086957</v>
      </c>
      <c r="C23" s="288">
        <f t="shared" si="0"/>
        <v>0.3125</v>
      </c>
      <c r="D23" s="288">
        <f t="shared" si="1"/>
        <v>0.28767788561516916</v>
      </c>
    </row>
    <row r="24" spans="1:16">
      <c r="A24" s="295">
        <v>48540</v>
      </c>
      <c r="B24" s="288">
        <f t="shared" si="2"/>
        <v>16.429347826086957</v>
      </c>
      <c r="C24" s="288">
        <f t="shared" si="0"/>
        <v>0.3125</v>
      </c>
      <c r="D24" s="288">
        <f t="shared" si="1"/>
        <v>0.28613891179986112</v>
      </c>
    </row>
    <row r="25" spans="1:16">
      <c r="A25" s="295">
        <v>48721</v>
      </c>
      <c r="B25" s="288">
        <f t="shared" si="2"/>
        <v>17.429347826086957</v>
      </c>
      <c r="C25" s="288">
        <f t="shared" si="0"/>
        <v>0.3125</v>
      </c>
      <c r="D25" s="288">
        <f t="shared" si="1"/>
        <v>0.2846081709441326</v>
      </c>
    </row>
    <row r="26" spans="1:16">
      <c r="A26" s="295">
        <v>48905</v>
      </c>
      <c r="B26" s="288">
        <f t="shared" si="2"/>
        <v>18.429347826086957</v>
      </c>
      <c r="C26" s="288">
        <f t="shared" si="0"/>
        <v>0.3125</v>
      </c>
      <c r="D26" s="288">
        <f t="shared" si="1"/>
        <v>0.283085619004594</v>
      </c>
    </row>
    <row r="27" spans="1:16">
      <c r="A27" s="295">
        <v>49086</v>
      </c>
      <c r="B27" s="288">
        <f t="shared" si="2"/>
        <v>19.429347826086957</v>
      </c>
      <c r="C27" s="288">
        <f t="shared" si="0"/>
        <v>0.3125</v>
      </c>
      <c r="D27" s="288">
        <f t="shared" si="1"/>
        <v>0.28157121217347203</v>
      </c>
    </row>
    <row r="28" spans="1:16">
      <c r="A28" s="295">
        <v>49270</v>
      </c>
      <c r="B28" s="288">
        <f t="shared" si="2"/>
        <v>20.429347826086957</v>
      </c>
      <c r="C28" s="288">
        <f t="shared" si="0"/>
        <v>0.3125</v>
      </c>
      <c r="D28" s="288">
        <f t="shared" si="1"/>
        <v>0.28006490687734925</v>
      </c>
    </row>
    <row r="29" spans="1:16">
      <c r="A29" s="295">
        <v>49451</v>
      </c>
      <c r="B29" s="288">
        <f t="shared" si="2"/>
        <v>21.429347826086957</v>
      </c>
      <c r="C29" s="288">
        <f t="shared" si="0"/>
        <v>0.3125</v>
      </c>
      <c r="D29" s="288">
        <f t="shared" si="1"/>
        <v>0.27856665977591055</v>
      </c>
    </row>
    <row r="30" spans="1:16">
      <c r="A30" s="295">
        <v>49635</v>
      </c>
      <c r="B30" s="288">
        <f t="shared" si="2"/>
        <v>22.429347826086957</v>
      </c>
      <c r="C30" s="288">
        <f t="shared" si="0"/>
        <v>0.3125</v>
      </c>
      <c r="D30" s="288">
        <f t="shared" si="1"/>
        <v>0.27707642776069602</v>
      </c>
    </row>
    <row r="31" spans="1:16">
      <c r="A31" s="295">
        <v>49817</v>
      </c>
      <c r="B31" s="288">
        <f t="shared" si="2"/>
        <v>23.429347826086957</v>
      </c>
      <c r="C31" s="288">
        <f t="shared" si="0"/>
        <v>0.3125</v>
      </c>
      <c r="D31" s="288">
        <f t="shared" si="1"/>
        <v>0.27559416795386049</v>
      </c>
    </row>
    <row r="32" spans="1:16">
      <c r="A32" s="295">
        <v>50001</v>
      </c>
      <c r="B32" s="288">
        <f t="shared" si="2"/>
        <v>24.429347826086957</v>
      </c>
      <c r="C32" s="288">
        <f t="shared" si="0"/>
        <v>0.3125</v>
      </c>
      <c r="D32" s="288">
        <f t="shared" si="1"/>
        <v>0.27411983770693993</v>
      </c>
    </row>
    <row r="33" spans="1:7">
      <c r="A33" s="295">
        <v>50182</v>
      </c>
      <c r="B33" s="288">
        <f t="shared" si="2"/>
        <v>25.429347826086957</v>
      </c>
      <c r="C33" s="288">
        <f t="shared" si="0"/>
        <v>0.3125</v>
      </c>
      <c r="D33" s="288">
        <f t="shared" si="1"/>
        <v>0.27265339459962434</v>
      </c>
    </row>
    <row r="34" spans="1:7">
      <c r="A34" s="295">
        <v>50366</v>
      </c>
      <c r="B34" s="288">
        <f t="shared" si="2"/>
        <v>26.429347826086957</v>
      </c>
      <c r="C34" s="288">
        <f t="shared" si="0"/>
        <v>0.3125</v>
      </c>
      <c r="D34" s="288">
        <f t="shared" si="1"/>
        <v>0.27119479643853739</v>
      </c>
    </row>
    <row r="35" spans="1:7">
      <c r="A35" s="295">
        <v>50547</v>
      </c>
      <c r="B35" s="288">
        <f t="shared" si="2"/>
        <v>27.429347826086957</v>
      </c>
      <c r="C35" s="288">
        <f t="shared" si="0"/>
        <v>0.3125</v>
      </c>
      <c r="D35" s="288">
        <f t="shared" si="1"/>
        <v>0.26974400125602199</v>
      </c>
    </row>
    <row r="36" spans="1:7">
      <c r="A36" s="295">
        <v>50731</v>
      </c>
      <c r="B36" s="288">
        <f t="shared" si="2"/>
        <v>28.429347826086957</v>
      </c>
      <c r="C36" s="288">
        <f t="shared" si="0"/>
        <v>0.3125</v>
      </c>
      <c r="D36" s="288">
        <f t="shared" si="1"/>
        <v>0.2683009673089331</v>
      </c>
    </row>
    <row r="37" spans="1:7">
      <c r="A37" s="295">
        <v>50912</v>
      </c>
      <c r="B37" s="288">
        <f t="shared" si="2"/>
        <v>29.429347826086957</v>
      </c>
      <c r="C37" s="288">
        <f t="shared" si="0"/>
        <v>0.3125</v>
      </c>
      <c r="D37" s="288">
        <f t="shared" si="1"/>
        <v>0.26686565307743659</v>
      </c>
    </row>
    <row r="38" spans="1:7">
      <c r="A38" s="295">
        <v>51096</v>
      </c>
      <c r="B38" s="288">
        <f t="shared" si="2"/>
        <v>30.429347826086957</v>
      </c>
      <c r="C38" s="288">
        <f t="shared" si="0"/>
        <v>0.3125</v>
      </c>
      <c r="D38" s="288">
        <f t="shared" si="1"/>
        <v>0.26543801726381461</v>
      </c>
    </row>
    <row r="39" spans="1:7">
      <c r="A39" s="295">
        <v>51278</v>
      </c>
      <c r="B39" s="288">
        <f t="shared" si="2"/>
        <v>31.429347826086957</v>
      </c>
      <c r="C39" s="288">
        <f t="shared" si="0"/>
        <v>0.3125</v>
      </c>
      <c r="D39" s="288">
        <f t="shared" si="1"/>
        <v>0.26401801879127734</v>
      </c>
    </row>
    <row r="40" spans="1:7">
      <c r="A40" s="295">
        <v>51462</v>
      </c>
      <c r="B40" s="288">
        <f t="shared" si="2"/>
        <v>32.429347826086953</v>
      </c>
      <c r="C40" s="288">
        <f t="shared" si="0"/>
        <v>0.3125</v>
      </c>
      <c r="D40" s="288">
        <f t="shared" si="1"/>
        <v>0.26260561680278099</v>
      </c>
    </row>
    <row r="41" spans="1:7">
      <c r="A41" s="295">
        <v>51643</v>
      </c>
      <c r="B41" s="288">
        <f t="shared" si="2"/>
        <v>33.429347826086953</v>
      </c>
      <c r="C41" s="288">
        <f t="shared" si="0"/>
        <v>0.3125</v>
      </c>
      <c r="D41" s="288">
        <f t="shared" si="1"/>
        <v>0.26120077065985248</v>
      </c>
    </row>
    <row r="42" spans="1:7">
      <c r="A42" s="295">
        <v>51827</v>
      </c>
      <c r="B42" s="288">
        <f t="shared" si="2"/>
        <v>34.429347826086953</v>
      </c>
      <c r="C42" s="288">
        <f t="shared" si="0"/>
        <v>0.3125</v>
      </c>
      <c r="D42" s="288">
        <f t="shared" si="1"/>
        <v>0.25980343994141997</v>
      </c>
    </row>
    <row r="43" spans="1:7">
      <c r="A43" s="295">
        <v>52008</v>
      </c>
      <c r="B43" s="288">
        <f t="shared" si="2"/>
        <v>35.429347826086953</v>
      </c>
      <c r="C43" s="288">
        <f t="shared" si="0"/>
        <v>0.3125</v>
      </c>
      <c r="D43" s="288">
        <f t="shared" si="1"/>
        <v>0.25841358444264984</v>
      </c>
    </row>
    <row r="44" spans="1:7">
      <c r="A44" s="295">
        <v>52192</v>
      </c>
      <c r="B44" s="288">
        <f t="shared" si="2"/>
        <v>36.429347826086953</v>
      </c>
      <c r="C44" s="288">
        <f>100+100*$C$1/2</f>
        <v>100.3125</v>
      </c>
      <c r="D44" s="288">
        <f t="shared" si="1"/>
        <v>82.507003699786594</v>
      </c>
    </row>
    <row r="46" spans="1:7">
      <c r="G46" s="295"/>
    </row>
    <row r="47" spans="1:7">
      <c r="G47" s="295"/>
    </row>
    <row r="48" spans="1:7">
      <c r="G48" s="295"/>
    </row>
    <row r="49" spans="7:7">
      <c r="G49" s="295"/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59CB9-AC31-4ACC-9706-12D30335FFCB}">
  <sheetPr>
    <tabColor rgb="FFFFFF00"/>
  </sheetPr>
  <dimension ref="A1:K71"/>
  <sheetViews>
    <sheetView zoomScale="85" zoomScaleNormal="85" workbookViewId="0">
      <selection activeCell="A14" sqref="A14"/>
    </sheetView>
  </sheetViews>
  <sheetFormatPr defaultRowHeight="28.5"/>
  <cols>
    <col min="1" max="1" width="29.33203125" customWidth="1"/>
    <col min="2" max="2" width="10.53125" bestFit="1" customWidth="1"/>
    <col min="3" max="3" width="28.33203125" customWidth="1"/>
    <col min="4" max="4" width="21.33203125" bestFit="1" customWidth="1"/>
    <col min="5" max="5" width="15.3984375" bestFit="1" customWidth="1"/>
  </cols>
  <sheetData>
    <row r="1" spans="1:5">
      <c r="A1" s="300" t="s">
        <v>332</v>
      </c>
      <c r="B1" s="300"/>
      <c r="C1" s="301"/>
      <c r="D1" s="301"/>
      <c r="E1" s="301"/>
    </row>
    <row r="2" spans="1:5">
      <c r="A2" s="301"/>
      <c r="B2" s="301"/>
      <c r="C2" s="301"/>
      <c r="D2" s="301"/>
      <c r="E2" s="301"/>
    </row>
    <row r="3" spans="1:5">
      <c r="A3" s="302" t="s">
        <v>333</v>
      </c>
      <c r="B3" s="301"/>
      <c r="C3" s="301"/>
      <c r="D3" s="301"/>
      <c r="E3" s="301"/>
    </row>
    <row r="4" spans="1:5">
      <c r="A4" s="301"/>
      <c r="B4" s="301"/>
      <c r="C4" s="301"/>
      <c r="D4" s="301"/>
      <c r="E4" s="301"/>
    </row>
    <row r="5" spans="1:5">
      <c r="A5" s="301"/>
      <c r="B5" s="303" t="s">
        <v>334</v>
      </c>
      <c r="C5" s="304">
        <f>VLOOKUP(B5,'[4]RPI data'!$G$9:$H$465,2,0)</f>
        <v>211.5</v>
      </c>
      <c r="D5" s="303"/>
      <c r="E5" s="304"/>
    </row>
    <row r="6" spans="1:5">
      <c r="A6" s="301"/>
      <c r="B6" s="305" t="s">
        <v>335</v>
      </c>
      <c r="C6" s="304">
        <f>VLOOKUP(B6,'[4]RPI data'!$G$9:$H$465,2,0)</f>
        <v>212.8</v>
      </c>
      <c r="D6" s="303"/>
      <c r="E6" s="304"/>
    </row>
    <row r="7" spans="1:5">
      <c r="A7" s="301"/>
      <c r="B7" s="303" t="s">
        <v>336</v>
      </c>
      <c r="C7" s="304">
        <f>VLOOKUP(B7,'[4]RPI data'!$G$9:$H$465,2,0)</f>
        <v>381</v>
      </c>
      <c r="D7" s="303"/>
      <c r="E7" s="306"/>
    </row>
    <row r="8" spans="1:5">
      <c r="A8" s="301"/>
      <c r="B8" s="303" t="s">
        <v>337</v>
      </c>
      <c r="C8" s="304">
        <f>VLOOKUP(B8,'[4]RPI data'!$G$9:$H$465,2,0)</f>
        <v>383</v>
      </c>
      <c r="D8" s="303"/>
      <c r="E8" s="306"/>
    </row>
    <row r="9" spans="1:5">
      <c r="A9" s="301"/>
      <c r="B9" s="303" t="s">
        <v>338</v>
      </c>
      <c r="C9" s="304">
        <f>VLOOKUP(B9,'[4]RPI data'!$G$9:$H$465,2,0)</f>
        <v>385</v>
      </c>
      <c r="D9" s="303"/>
      <c r="E9" s="306"/>
    </row>
    <row r="10" spans="1:5">
      <c r="A10" s="301"/>
      <c r="B10" s="303" t="s">
        <v>339</v>
      </c>
      <c r="C10" s="304">
        <f>VLOOKUP(B10,'[4]RPI data'!$G$9:$H$465,2,0)</f>
        <v>386.4</v>
      </c>
      <c r="D10" s="303"/>
      <c r="E10" s="306"/>
    </row>
    <row r="11" spans="1:5">
      <c r="A11" s="301"/>
      <c r="B11" s="303" t="s">
        <v>340</v>
      </c>
      <c r="C11" s="304">
        <f>VLOOKUP(B11,'[4]RPI data'!$G$9:$H$465,2,0)</f>
        <v>387.3</v>
      </c>
      <c r="D11" s="303"/>
      <c r="E11" s="306"/>
    </row>
    <row r="12" spans="1:5">
      <c r="A12" s="301"/>
      <c r="B12" s="303" t="s">
        <v>341</v>
      </c>
      <c r="C12" s="304">
        <f>VLOOKUP(B12,'[4]RPI data'!$G$9:$H$465,2,0)</f>
        <v>387.5</v>
      </c>
      <c r="D12" s="303"/>
      <c r="E12" s="306"/>
    </row>
    <row r="13" spans="1:5">
      <c r="A13" s="301"/>
      <c r="B13" s="303" t="s">
        <v>342</v>
      </c>
      <c r="C13" s="304">
        <f>VLOOKUP(B13,'[4]RPI data'!$G$9:$H$465,2,0)</f>
        <v>389.9</v>
      </c>
      <c r="D13" s="307"/>
      <c r="E13" s="308"/>
    </row>
    <row r="14" spans="1:5">
      <c r="A14" s="301"/>
      <c r="B14" s="303" t="s">
        <v>343</v>
      </c>
      <c r="C14" s="304">
        <f>VLOOKUP(B14,'[4]RPI data'!$G$9:$H$465,2,0)</f>
        <v>388.6</v>
      </c>
      <c r="D14" s="309"/>
      <c r="E14" s="304"/>
    </row>
    <row r="15" spans="1:5">
      <c r="A15" s="301"/>
      <c r="B15" s="310"/>
      <c r="C15" s="311"/>
      <c r="D15" s="309"/>
      <c r="E15" s="312"/>
    </row>
    <row r="16" spans="1:5">
      <c r="A16" s="301"/>
      <c r="B16" s="310"/>
      <c r="C16" s="311"/>
      <c r="D16" s="303"/>
      <c r="E16" s="311"/>
    </row>
    <row r="17" spans="1:5">
      <c r="A17" s="301"/>
      <c r="B17" s="301"/>
      <c r="C17" s="301"/>
      <c r="D17" s="301"/>
      <c r="E17" s="301"/>
    </row>
    <row r="18" spans="1:5">
      <c r="A18" s="301"/>
      <c r="B18" s="301"/>
      <c r="C18" s="301"/>
      <c r="D18" s="301"/>
      <c r="E18" s="301"/>
    </row>
    <row r="19" spans="1:5">
      <c r="A19" s="300" t="s">
        <v>344</v>
      </c>
      <c r="B19" s="300"/>
      <c r="C19" s="300"/>
      <c r="D19" s="301"/>
      <c r="E19" s="301"/>
    </row>
    <row r="20" spans="1:5">
      <c r="A20" s="301"/>
      <c r="B20" s="313" t="s">
        <v>345</v>
      </c>
      <c r="C20" s="301"/>
      <c r="D20" s="314"/>
      <c r="E20" s="301"/>
    </row>
    <row r="21" spans="1:5">
      <c r="A21" s="301"/>
      <c r="B21" s="301"/>
      <c r="C21" s="315" t="s">
        <v>346</v>
      </c>
      <c r="D21" s="301"/>
      <c r="E21" s="301"/>
    </row>
    <row r="22" spans="1:5">
      <c r="A22" s="301"/>
      <c r="B22" s="301" t="s">
        <v>347</v>
      </c>
      <c r="C22" s="316">
        <v>40018</v>
      </c>
      <c r="D22" s="317"/>
      <c r="E22" s="301"/>
    </row>
    <row r="23" spans="1:5">
      <c r="A23" s="301"/>
      <c r="B23" s="318" t="s">
        <v>348</v>
      </c>
      <c r="C23" s="319">
        <v>30</v>
      </c>
      <c r="D23" s="317"/>
      <c r="E23" s="301"/>
    </row>
    <row r="24" spans="1:5">
      <c r="A24" s="301"/>
      <c r="B24" s="301" t="s">
        <v>150</v>
      </c>
      <c r="C24" s="316">
        <v>52192</v>
      </c>
      <c r="D24" s="317"/>
      <c r="E24" s="301"/>
    </row>
    <row r="25" spans="1:5">
      <c r="A25" s="301"/>
      <c r="B25" s="301" t="s">
        <v>349</v>
      </c>
      <c r="C25" s="320">
        <f>(5/8)%</f>
        <v>6.2500000000000003E-3</v>
      </c>
      <c r="D25" s="317"/>
      <c r="E25" s="301"/>
    </row>
    <row r="26" spans="1:5">
      <c r="A26" s="301"/>
      <c r="B26" s="301" t="s">
        <v>350</v>
      </c>
      <c r="C26" s="316">
        <v>45539</v>
      </c>
      <c r="D26" s="317"/>
      <c r="E26" s="301"/>
    </row>
    <row r="27" spans="1:5">
      <c r="A27" s="301"/>
      <c r="B27" s="301" t="s">
        <v>351</v>
      </c>
      <c r="C27" s="316">
        <v>45434</v>
      </c>
      <c r="D27" s="317"/>
      <c r="E27" s="301"/>
    </row>
    <row r="28" spans="1:5">
      <c r="A28" s="301"/>
      <c r="B28" s="301" t="s">
        <v>352</v>
      </c>
      <c r="C28" s="316">
        <v>45618</v>
      </c>
      <c r="D28" s="317"/>
      <c r="E28" s="301"/>
    </row>
    <row r="29" spans="1:5">
      <c r="A29" s="301"/>
      <c r="B29" s="301"/>
      <c r="C29" s="321"/>
      <c r="D29" s="317"/>
      <c r="E29" s="301"/>
    </row>
    <row r="30" spans="1:5">
      <c r="A30" s="301"/>
      <c r="B30" s="315" t="s">
        <v>353</v>
      </c>
      <c r="C30" s="322">
        <v>40018</v>
      </c>
      <c r="D30" s="317"/>
      <c r="E30" s="301"/>
    </row>
    <row r="31" spans="1:5">
      <c r="B31" s="301" t="s">
        <v>348</v>
      </c>
      <c r="C31" s="301">
        <v>31</v>
      </c>
      <c r="D31" s="317"/>
      <c r="E31" s="301"/>
    </row>
    <row r="32" spans="1:5">
      <c r="A32" s="301" t="s">
        <v>354</v>
      </c>
      <c r="B32" s="301" t="s">
        <v>334</v>
      </c>
      <c r="C32" s="323">
        <f>VLOOKUP(B32,$B$5:$C$14,2,0)</f>
        <v>211.5</v>
      </c>
      <c r="D32" s="317"/>
      <c r="E32" s="301"/>
    </row>
    <row r="33" spans="1:11">
      <c r="A33" s="301" t="s">
        <v>355</v>
      </c>
      <c r="B33" s="301" t="s">
        <v>335</v>
      </c>
      <c r="C33" s="323">
        <f>VLOOKUP(B33,$B$5:$C$14,2,0)</f>
        <v>212.8</v>
      </c>
      <c r="D33" s="301"/>
      <c r="E33" s="301"/>
    </row>
    <row r="34" spans="1:11">
      <c r="B34" s="315" t="s">
        <v>356</v>
      </c>
      <c r="C34" s="324"/>
      <c r="D34" s="317" t="s">
        <v>357</v>
      </c>
      <c r="E34" s="325">
        <f>C34</f>
        <v>0</v>
      </c>
    </row>
    <row r="35" spans="1:11">
      <c r="E35" s="301"/>
    </row>
    <row r="36" spans="1:11">
      <c r="A36" s="301"/>
      <c r="B36" s="301"/>
      <c r="C36" s="301"/>
      <c r="D36" s="317"/>
      <c r="E36" s="301"/>
    </row>
    <row r="37" spans="1:11">
      <c r="A37" s="301"/>
      <c r="B37" s="315" t="s">
        <v>358</v>
      </c>
      <c r="C37" s="322">
        <f>C27</f>
        <v>45434</v>
      </c>
      <c r="D37" s="317"/>
      <c r="E37" s="301"/>
      <c r="H37" s="301"/>
      <c r="I37" s="301"/>
      <c r="J37" s="326"/>
      <c r="K37" s="327"/>
    </row>
    <row r="38" spans="1:11">
      <c r="A38" s="301"/>
      <c r="B38" s="301" t="s">
        <v>359</v>
      </c>
      <c r="C38" s="323">
        <v>31</v>
      </c>
      <c r="D38" s="317"/>
      <c r="E38" s="301"/>
      <c r="H38" s="301"/>
      <c r="I38" s="301"/>
      <c r="J38" s="326"/>
      <c r="K38" s="327"/>
    </row>
    <row r="39" spans="1:11">
      <c r="A39" s="301" t="s">
        <v>354</v>
      </c>
      <c r="B39" s="301" t="s">
        <v>336</v>
      </c>
      <c r="C39" s="323">
        <f>VLOOKUP(B39,$B$5:$C$14,2,0)</f>
        <v>381</v>
      </c>
      <c r="D39" s="317"/>
      <c r="E39" s="301"/>
      <c r="H39" s="301"/>
      <c r="I39" s="301"/>
      <c r="J39" s="326"/>
      <c r="K39" s="301"/>
    </row>
    <row r="40" spans="1:11">
      <c r="A40" s="301" t="s">
        <v>355</v>
      </c>
      <c r="B40" s="301" t="s">
        <v>337</v>
      </c>
      <c r="C40" s="323">
        <f>VLOOKUP(B40,$B$5:$C$14,2,0)</f>
        <v>383</v>
      </c>
      <c r="D40" s="317"/>
      <c r="E40" s="328"/>
      <c r="H40" s="301"/>
      <c r="I40" s="315"/>
      <c r="J40" s="328"/>
      <c r="K40" s="327"/>
    </row>
    <row r="41" spans="1:11">
      <c r="A41" s="301"/>
      <c r="B41" s="329" t="s">
        <v>360</v>
      </c>
      <c r="C41" s="343">
        <f>ROUND(C39+((22-1)/C38)*(C40-C39),5)</f>
        <v>382.35484000000002</v>
      </c>
      <c r="D41" s="317" t="s">
        <v>357</v>
      </c>
      <c r="E41" s="325">
        <f>C41</f>
        <v>382.35484000000002</v>
      </c>
    </row>
    <row r="42" spans="1:11">
      <c r="A42" s="301"/>
      <c r="B42" s="301"/>
      <c r="C42" s="301"/>
      <c r="D42" s="317"/>
      <c r="E42" s="301"/>
    </row>
    <row r="43" spans="1:11">
      <c r="A43" s="301"/>
      <c r="B43" s="301"/>
      <c r="C43" s="301"/>
      <c r="D43" s="317"/>
      <c r="E43" s="301"/>
    </row>
    <row r="44" spans="1:11">
      <c r="A44" s="301"/>
      <c r="B44" s="315" t="s">
        <v>361</v>
      </c>
      <c r="C44" s="330">
        <v>45618</v>
      </c>
      <c r="D44" s="317"/>
      <c r="E44" s="301"/>
    </row>
    <row r="45" spans="1:11">
      <c r="A45" s="301"/>
      <c r="B45" s="301" t="s">
        <v>362</v>
      </c>
      <c r="C45" s="331">
        <f>100*C25/2</f>
        <v>0.3125</v>
      </c>
      <c r="D45" s="317"/>
      <c r="E45" s="301"/>
    </row>
    <row r="46" spans="1:11">
      <c r="B46" s="301" t="s">
        <v>363</v>
      </c>
      <c r="C46">
        <v>30</v>
      </c>
      <c r="D46" s="317"/>
      <c r="E46" s="301"/>
    </row>
    <row r="47" spans="1:11">
      <c r="A47" s="301" t="s">
        <v>354</v>
      </c>
      <c r="B47" s="301" t="s">
        <v>342</v>
      </c>
      <c r="C47" s="323">
        <f>VLOOKUP(B47,$B$5:$C$14,2,0)</f>
        <v>389.9</v>
      </c>
      <c r="D47" s="317"/>
      <c r="E47" s="301"/>
    </row>
    <row r="48" spans="1:11">
      <c r="A48" s="301" t="s">
        <v>355</v>
      </c>
      <c r="B48" s="301" t="s">
        <v>343</v>
      </c>
      <c r="C48" s="323">
        <f>VLOOKUP(B48,$B$5:$C$14,2,0)</f>
        <v>388.6</v>
      </c>
      <c r="D48" s="301"/>
      <c r="E48" s="301"/>
    </row>
    <row r="49" spans="1:5">
      <c r="A49" s="301"/>
      <c r="B49" s="315" t="s">
        <v>364</v>
      </c>
      <c r="C49" s="343">
        <f>ROUND(C47+((22-1)/C46)*(C48-C47),5)</f>
        <v>388.99</v>
      </c>
      <c r="D49" s="317" t="s">
        <v>357</v>
      </c>
      <c r="E49" s="332"/>
    </row>
    <row r="50" spans="1:5">
      <c r="A50" s="301"/>
      <c r="B50" s="301" t="s">
        <v>365</v>
      </c>
      <c r="C50" s="328" t="e">
        <f>ROUND(C49/C34,5)</f>
        <v>#DIV/0!</v>
      </c>
      <c r="D50" s="317" t="s">
        <v>357</v>
      </c>
      <c r="E50" s="332"/>
    </row>
    <row r="51" spans="1:5">
      <c r="A51" s="301"/>
      <c r="B51" s="301" t="s">
        <v>366</v>
      </c>
      <c r="C51" s="337" t="e">
        <f>ROUND(100*C25/2*C50,6)</f>
        <v>#DIV/0!</v>
      </c>
      <c r="D51" s="317" t="s">
        <v>367</v>
      </c>
      <c r="E51" s="301"/>
    </row>
    <row r="52" spans="1:5">
      <c r="A52" s="301"/>
      <c r="B52" s="301"/>
      <c r="C52" s="301"/>
      <c r="D52" s="317"/>
      <c r="E52" s="301"/>
    </row>
    <row r="53" spans="1:5">
      <c r="A53" s="301"/>
      <c r="B53" s="301"/>
      <c r="C53" s="315" t="s">
        <v>368</v>
      </c>
      <c r="D53" s="317"/>
      <c r="E53" s="301"/>
    </row>
    <row r="54" spans="1:5">
      <c r="A54" s="301"/>
      <c r="B54" s="315" t="s">
        <v>369</v>
      </c>
      <c r="C54" s="330">
        <v>45539</v>
      </c>
      <c r="D54" s="317"/>
      <c r="E54" s="301"/>
    </row>
    <row r="55" spans="1:5">
      <c r="A55" s="301"/>
      <c r="B55" s="301" t="s">
        <v>370</v>
      </c>
      <c r="C55" s="334">
        <v>30</v>
      </c>
      <c r="D55" s="317"/>
      <c r="E55" s="301"/>
    </row>
    <row r="56" spans="1:5">
      <c r="A56" s="301"/>
      <c r="B56" s="301" t="s">
        <v>371</v>
      </c>
      <c r="C56" s="335">
        <f>C26-C27</f>
        <v>105</v>
      </c>
      <c r="D56" s="317"/>
      <c r="E56" s="301"/>
    </row>
    <row r="57" spans="1:5">
      <c r="A57" s="301"/>
      <c r="B57" s="301" t="s">
        <v>372</v>
      </c>
      <c r="C57" s="335">
        <f>C28-C27</f>
        <v>184</v>
      </c>
      <c r="D57" s="301"/>
      <c r="E57" s="301"/>
    </row>
    <row r="58" spans="1:5">
      <c r="A58" s="301"/>
      <c r="B58" s="301" t="s">
        <v>373</v>
      </c>
      <c r="C58" s="337">
        <f>ROUND(100*C25/2*C56/C57,6)</f>
        <v>0.17832899999999999</v>
      </c>
      <c r="D58" s="317" t="s">
        <v>367</v>
      </c>
      <c r="E58" s="301"/>
    </row>
    <row r="59" spans="1:5">
      <c r="A59" s="301" t="s">
        <v>354</v>
      </c>
      <c r="B59" s="301" t="s">
        <v>340</v>
      </c>
      <c r="C59" s="323">
        <f>VLOOKUP(B59,$B$5:$C$14,2,0)</f>
        <v>387.3</v>
      </c>
      <c r="D59" s="317"/>
      <c r="E59" s="301"/>
    </row>
    <row r="60" spans="1:5">
      <c r="A60" s="301" t="s">
        <v>355</v>
      </c>
      <c r="B60" s="301" t="s">
        <v>341</v>
      </c>
      <c r="C60" s="323">
        <f>VLOOKUP(B60,$B$5:$C$14,2,0)</f>
        <v>387.5</v>
      </c>
      <c r="D60" s="317"/>
      <c r="E60" s="301" t="s">
        <v>374</v>
      </c>
    </row>
    <row r="61" spans="1:5">
      <c r="A61" s="301"/>
      <c r="B61" s="301" t="s">
        <v>375</v>
      </c>
      <c r="C61" s="324"/>
      <c r="D61" s="317" t="s">
        <v>357</v>
      </c>
      <c r="E61" s="325">
        <f>C61</f>
        <v>0</v>
      </c>
    </row>
    <row r="62" spans="1:5">
      <c r="A62" s="301"/>
      <c r="B62" s="301" t="s">
        <v>376</v>
      </c>
      <c r="C62" s="324"/>
      <c r="D62" s="317" t="s">
        <v>357</v>
      </c>
      <c r="E62" s="325">
        <f>C63*10000</f>
        <v>0</v>
      </c>
    </row>
    <row r="63" spans="1:5">
      <c r="A63" s="301"/>
      <c r="B63" s="301" t="s">
        <v>377</v>
      </c>
      <c r="C63" s="333"/>
      <c r="D63" s="317" t="s">
        <v>367</v>
      </c>
      <c r="E63" s="301">
        <f>C64*10000</f>
        <v>0</v>
      </c>
    </row>
    <row r="64" spans="1:5">
      <c r="A64" s="301"/>
      <c r="B64" s="301"/>
      <c r="C64" s="301"/>
      <c r="D64" s="317"/>
      <c r="E64" s="301"/>
    </row>
    <row r="65" spans="1:5">
      <c r="A65" s="301"/>
      <c r="B65" s="301"/>
      <c r="C65" s="315" t="s">
        <v>378</v>
      </c>
      <c r="D65" s="301"/>
      <c r="E65" s="301"/>
    </row>
    <row r="66" spans="1:5">
      <c r="A66" s="301"/>
      <c r="B66" s="301" t="s">
        <v>379</v>
      </c>
      <c r="C66" s="336">
        <f>'Value bond w real YTM'!E3</f>
        <v>0</v>
      </c>
      <c r="D66" s="317" t="s">
        <v>380</v>
      </c>
    </row>
    <row r="67" spans="1:5">
      <c r="A67" s="301"/>
      <c r="B67" s="301" t="s">
        <v>381</v>
      </c>
      <c r="C67" s="333"/>
      <c r="D67" s="317"/>
      <c r="E67" s="325">
        <f>C67*10000</f>
        <v>0</v>
      </c>
    </row>
    <row r="68" spans="1:5">
      <c r="A68" s="301"/>
      <c r="B68" s="301" t="s">
        <v>382</v>
      </c>
      <c r="C68" s="337">
        <f>C66+C58</f>
        <v>0.17832899999999999</v>
      </c>
      <c r="D68" s="317"/>
      <c r="E68" s="301"/>
    </row>
    <row r="69" spans="1:5">
      <c r="A69" s="301"/>
      <c r="B69" s="301" t="s">
        <v>383</v>
      </c>
      <c r="C69" s="333"/>
      <c r="D69" s="317" t="s">
        <v>384</v>
      </c>
      <c r="E69" s="325">
        <f>C69*10000</f>
        <v>0</v>
      </c>
    </row>
    <row r="70" spans="1:5">
      <c r="A70" s="301"/>
      <c r="B70" s="301"/>
      <c r="C70" s="338"/>
      <c r="D70" s="317"/>
      <c r="E70" s="301"/>
    </row>
    <row r="71" spans="1:5">
      <c r="A71" s="301"/>
      <c r="B71" s="301"/>
      <c r="C71" s="332"/>
      <c r="D71" s="301"/>
      <c r="E71" s="301"/>
    </row>
  </sheetData>
  <hyperlinks>
    <hyperlink ref="A3" r:id="rId1" xr:uid="{87496C6E-AB2F-4C8F-AB11-C7F92F3E3D8A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63B33-7D6A-4A8C-9EE9-B25CAEBDC599}">
  <sheetPr>
    <tabColor rgb="FF92D050"/>
  </sheetPr>
  <dimension ref="B1:W740"/>
  <sheetViews>
    <sheetView zoomScale="55" zoomScaleNormal="55" workbookViewId="0">
      <selection activeCell="L29" sqref="L29"/>
    </sheetView>
  </sheetViews>
  <sheetFormatPr defaultRowHeight="28.5"/>
  <cols>
    <col min="2" max="2" width="10.19921875" bestFit="1" customWidth="1"/>
    <col min="3" max="3" width="19.06640625" customWidth="1"/>
    <col min="4" max="4" width="27" bestFit="1" customWidth="1"/>
    <col min="6" max="6" width="9.265625" bestFit="1" customWidth="1"/>
    <col min="7" max="7" width="10.73046875" bestFit="1" customWidth="1"/>
    <col min="8" max="8" width="16.19921875" bestFit="1" customWidth="1"/>
    <col min="9" max="9" width="7.3984375" bestFit="1" customWidth="1"/>
    <col min="10" max="10" width="12.33203125" bestFit="1" customWidth="1"/>
    <col min="11" max="11" width="18" bestFit="1" customWidth="1"/>
    <col min="14" max="14" width="10.19921875" bestFit="1" customWidth="1"/>
    <col min="15" max="15" width="10.19921875" customWidth="1"/>
    <col min="16" max="16" width="17" bestFit="1" customWidth="1"/>
    <col min="17" max="17" width="16" style="18" bestFit="1" customWidth="1"/>
    <col min="18" max="18" width="21.1328125" bestFit="1" customWidth="1"/>
    <col min="20" max="20" width="12.1328125" bestFit="1" customWidth="1"/>
    <col min="23" max="23" width="10.73046875" bestFit="1" customWidth="1"/>
  </cols>
  <sheetData>
    <row r="1" spans="2:23">
      <c r="B1" s="22" t="s">
        <v>17</v>
      </c>
      <c r="C1" s="20" t="s">
        <v>18</v>
      </c>
    </row>
    <row r="2" spans="2:23">
      <c r="Q2" s="255"/>
    </row>
    <row r="3" spans="2:23">
      <c r="P3" s="21"/>
      <c r="Q3" s="256"/>
      <c r="R3" s="21"/>
    </row>
    <row r="4" spans="2:23">
      <c r="F4" s="22"/>
      <c r="G4" s="1"/>
      <c r="K4" s="19"/>
      <c r="Q4" s="257"/>
    </row>
    <row r="5" spans="2:23">
      <c r="C5" s="19" t="s">
        <v>19</v>
      </c>
      <c r="D5" s="19" t="s">
        <v>20</v>
      </c>
      <c r="F5" s="19"/>
      <c r="G5" s="19"/>
      <c r="H5" s="19"/>
      <c r="I5" s="19"/>
      <c r="J5" s="19"/>
      <c r="K5" s="19"/>
      <c r="L5" s="19"/>
      <c r="N5" s="258"/>
      <c r="O5" s="258"/>
      <c r="Q5" s="259"/>
      <c r="R5" s="21"/>
      <c r="W5" s="1"/>
    </row>
    <row r="6" spans="2:23" ht="29.25" thickBot="1">
      <c r="B6" t="s">
        <v>21</v>
      </c>
      <c r="C6" s="5">
        <v>45754</v>
      </c>
      <c r="D6" s="339">
        <v>4.4999999999999998E-2</v>
      </c>
      <c r="F6" s="19"/>
      <c r="G6" s="31"/>
      <c r="H6" s="4"/>
      <c r="I6" s="4"/>
      <c r="J6" s="7"/>
      <c r="K6" s="254"/>
      <c r="L6" s="254"/>
      <c r="N6" s="1"/>
      <c r="O6" s="27"/>
      <c r="Q6" s="61"/>
      <c r="W6" s="1"/>
    </row>
    <row r="7" spans="2:23">
      <c r="B7" s="1"/>
      <c r="C7" s="5">
        <v>45784</v>
      </c>
      <c r="D7" s="340">
        <f>D6</f>
        <v>4.4999999999999998E-2</v>
      </c>
      <c r="F7" s="19"/>
      <c r="G7" s="31"/>
      <c r="H7" s="4"/>
      <c r="I7" s="4"/>
      <c r="J7" s="7"/>
      <c r="K7" s="254"/>
      <c r="L7" s="254"/>
      <c r="N7" s="1"/>
      <c r="O7" s="27"/>
      <c r="Q7" s="61"/>
      <c r="W7" s="1"/>
    </row>
    <row r="8" spans="2:23">
      <c r="C8" s="5">
        <v>45826</v>
      </c>
      <c r="D8" s="341">
        <f t="shared" ref="D8:D22" si="0">D7</f>
        <v>4.4999999999999998E-2</v>
      </c>
      <c r="F8" s="19"/>
      <c r="G8" s="31"/>
      <c r="H8" s="4"/>
      <c r="I8" s="4"/>
      <c r="J8" s="7"/>
      <c r="K8" s="254"/>
      <c r="L8" s="254"/>
      <c r="N8" s="1"/>
      <c r="O8" s="27"/>
      <c r="Q8" s="61"/>
      <c r="W8" s="1"/>
    </row>
    <row r="9" spans="2:23">
      <c r="C9" s="5">
        <v>45868</v>
      </c>
      <c r="D9" s="341">
        <f t="shared" si="0"/>
        <v>4.4999999999999998E-2</v>
      </c>
      <c r="F9" s="19"/>
      <c r="G9" s="31"/>
      <c r="H9" s="4"/>
      <c r="I9" s="4"/>
      <c r="J9" s="7"/>
      <c r="K9" s="254"/>
      <c r="L9" s="254"/>
      <c r="N9" s="1"/>
      <c r="O9" s="27"/>
      <c r="Q9" s="61"/>
      <c r="W9" s="1"/>
    </row>
    <row r="10" spans="2:23">
      <c r="C10" s="5">
        <v>45917</v>
      </c>
      <c r="D10" s="341">
        <f t="shared" si="0"/>
        <v>4.4999999999999998E-2</v>
      </c>
      <c r="F10" s="19"/>
      <c r="G10" s="31"/>
      <c r="H10" s="4"/>
      <c r="I10" s="4"/>
      <c r="J10" s="7"/>
      <c r="K10" s="254"/>
      <c r="L10" s="254"/>
      <c r="N10" s="1"/>
      <c r="O10" s="27"/>
      <c r="Q10" s="61"/>
      <c r="W10" s="1"/>
    </row>
    <row r="11" spans="2:23">
      <c r="C11" s="5">
        <v>45959</v>
      </c>
      <c r="D11" s="341">
        <f t="shared" si="0"/>
        <v>4.4999999999999998E-2</v>
      </c>
      <c r="F11" s="19"/>
      <c r="G11" s="31"/>
      <c r="H11" s="4"/>
      <c r="I11" s="4"/>
      <c r="J11" s="7"/>
      <c r="K11" s="254"/>
      <c r="L11" s="254"/>
      <c r="N11" s="1"/>
      <c r="O11" s="27"/>
      <c r="Q11" s="61"/>
      <c r="W11" s="1"/>
    </row>
    <row r="12" spans="2:23">
      <c r="C12" s="5">
        <v>46001</v>
      </c>
      <c r="D12" s="341">
        <f t="shared" si="0"/>
        <v>4.4999999999999998E-2</v>
      </c>
      <c r="G12" s="4"/>
      <c r="H12" s="4"/>
      <c r="N12" s="1"/>
      <c r="O12" s="27"/>
      <c r="Q12" s="61"/>
      <c r="W12" s="1"/>
    </row>
    <row r="13" spans="2:23">
      <c r="C13" s="5">
        <v>46050</v>
      </c>
      <c r="D13" s="341">
        <f t="shared" si="0"/>
        <v>4.4999999999999998E-2</v>
      </c>
      <c r="G13" s="4"/>
      <c r="H13" s="4"/>
      <c r="N13" s="1"/>
      <c r="O13" s="27"/>
      <c r="Q13" s="61"/>
      <c r="W13" s="1"/>
    </row>
    <row r="14" spans="2:23">
      <c r="C14" s="5">
        <v>46099</v>
      </c>
      <c r="D14" s="341">
        <f t="shared" si="0"/>
        <v>4.4999999999999998E-2</v>
      </c>
      <c r="F14" s="24"/>
      <c r="G14" s="4"/>
      <c r="H14" s="4"/>
      <c r="N14" s="1"/>
      <c r="O14" s="27"/>
      <c r="Q14" s="61"/>
      <c r="W14" s="1"/>
    </row>
    <row r="15" spans="2:23">
      <c r="C15" s="5">
        <v>46141</v>
      </c>
      <c r="D15" s="341">
        <f t="shared" si="0"/>
        <v>4.4999999999999998E-2</v>
      </c>
      <c r="F15" s="19"/>
      <c r="G15" s="19"/>
      <c r="H15" s="19"/>
      <c r="I15" s="19"/>
      <c r="J15" s="19"/>
      <c r="K15" s="19"/>
      <c r="L15" s="19"/>
      <c r="N15" s="1"/>
      <c r="O15" s="27"/>
      <c r="Q15" s="61"/>
      <c r="R15" s="2"/>
      <c r="W15" s="1"/>
    </row>
    <row r="16" spans="2:23">
      <c r="C16" s="5">
        <v>46190</v>
      </c>
      <c r="D16" s="341">
        <f t="shared" si="0"/>
        <v>4.4999999999999998E-2</v>
      </c>
      <c r="F16" s="22"/>
      <c r="G16" s="4"/>
      <c r="H16" s="4"/>
      <c r="N16" s="1"/>
      <c r="O16" s="27"/>
      <c r="Q16" s="61"/>
      <c r="W16" s="1"/>
    </row>
    <row r="17" spans="3:23">
      <c r="C17" s="5">
        <v>46232</v>
      </c>
      <c r="D17" s="341">
        <f t="shared" si="0"/>
        <v>4.4999999999999998E-2</v>
      </c>
      <c r="F17" s="22"/>
      <c r="G17" s="4"/>
      <c r="H17" s="4"/>
      <c r="N17" s="1"/>
      <c r="O17" s="27"/>
      <c r="Q17" s="61"/>
      <c r="W17" s="1"/>
    </row>
    <row r="18" spans="3:23">
      <c r="C18" s="5">
        <v>46281</v>
      </c>
      <c r="D18" s="341">
        <f t="shared" si="0"/>
        <v>4.4999999999999998E-2</v>
      </c>
      <c r="F18" s="22"/>
      <c r="N18" s="1"/>
      <c r="O18" s="27"/>
      <c r="Q18" s="61"/>
      <c r="W18" s="1"/>
    </row>
    <row r="19" spans="3:23">
      <c r="C19" s="5">
        <v>46323</v>
      </c>
      <c r="D19" s="341">
        <f t="shared" si="0"/>
        <v>4.4999999999999998E-2</v>
      </c>
      <c r="F19" s="22"/>
      <c r="N19" s="1"/>
      <c r="O19" s="27"/>
      <c r="Q19" s="61"/>
      <c r="W19" s="1"/>
    </row>
    <row r="20" spans="3:23">
      <c r="C20" s="5">
        <v>46365</v>
      </c>
      <c r="D20" s="341">
        <f t="shared" si="0"/>
        <v>4.4999999999999998E-2</v>
      </c>
      <c r="F20" s="22"/>
      <c r="N20" s="1"/>
      <c r="O20" s="27"/>
      <c r="Q20" s="61"/>
      <c r="W20" s="1"/>
    </row>
    <row r="21" spans="3:23">
      <c r="C21" s="5">
        <v>46416</v>
      </c>
      <c r="D21" s="341">
        <f t="shared" si="0"/>
        <v>4.4999999999999998E-2</v>
      </c>
      <c r="F21" s="22"/>
      <c r="N21" s="1"/>
      <c r="O21" s="27"/>
      <c r="Q21" s="61"/>
      <c r="W21" s="1"/>
    </row>
    <row r="22" spans="3:23" ht="29.25" thickBot="1">
      <c r="C22" s="5">
        <v>46465</v>
      </c>
      <c r="D22" s="342">
        <f t="shared" si="0"/>
        <v>4.4999999999999998E-2</v>
      </c>
      <c r="N22" s="1"/>
      <c r="O22" s="27"/>
      <c r="Q22" s="61"/>
      <c r="W22" s="1"/>
    </row>
    <row r="23" spans="3:23">
      <c r="C23" s="5">
        <f>C6+(2*365)</f>
        <v>46484</v>
      </c>
      <c r="D23" s="61"/>
      <c r="N23" s="1"/>
      <c r="O23" s="27"/>
      <c r="Q23" s="61"/>
      <c r="W23" s="1"/>
    </row>
    <row r="24" spans="3:23">
      <c r="N24" s="1"/>
      <c r="O24" s="27"/>
      <c r="Q24" s="61"/>
      <c r="W24" s="1"/>
    </row>
    <row r="25" spans="3:23">
      <c r="C25" s="22" t="s">
        <v>17</v>
      </c>
      <c r="N25" s="1"/>
      <c r="O25" s="27"/>
      <c r="Q25" s="61"/>
      <c r="W25" s="1"/>
    </row>
    <row r="26" spans="3:23">
      <c r="C26" t="s">
        <v>22</v>
      </c>
      <c r="D26" s="20" t="s">
        <v>18</v>
      </c>
      <c r="N26" s="1"/>
      <c r="O26" s="27"/>
      <c r="Q26" s="61"/>
      <c r="W26" s="1"/>
    </row>
    <row r="27" spans="3:23">
      <c r="C27" t="s">
        <v>23</v>
      </c>
      <c r="D27" s="20" t="s">
        <v>24</v>
      </c>
      <c r="N27" s="1"/>
      <c r="O27" s="27"/>
      <c r="Q27" s="61"/>
      <c r="W27" s="1"/>
    </row>
    <row r="28" spans="3:23">
      <c r="N28" s="1"/>
      <c r="O28" s="27"/>
      <c r="Q28" s="61"/>
      <c r="W28" s="1"/>
    </row>
    <row r="29" spans="3:23">
      <c r="N29" s="1"/>
      <c r="O29" s="27"/>
      <c r="Q29" s="61"/>
      <c r="W29" s="1"/>
    </row>
    <row r="30" spans="3:23">
      <c r="N30" s="1"/>
      <c r="O30" s="27"/>
      <c r="Q30" s="61"/>
      <c r="W30" s="1"/>
    </row>
    <row r="31" spans="3:23">
      <c r="N31" s="1"/>
      <c r="O31" s="27"/>
      <c r="Q31" s="61"/>
      <c r="W31" s="1"/>
    </row>
    <row r="32" spans="3:23">
      <c r="N32" s="1"/>
      <c r="O32" s="27"/>
      <c r="Q32" s="61"/>
      <c r="W32" s="1"/>
    </row>
    <row r="33" spans="14:23">
      <c r="N33" s="1"/>
      <c r="O33" s="27"/>
      <c r="Q33" s="61"/>
      <c r="W33" s="1"/>
    </row>
    <row r="34" spans="14:23">
      <c r="N34" s="1"/>
      <c r="O34" s="27"/>
      <c r="Q34" s="61"/>
      <c r="W34" s="1"/>
    </row>
    <row r="35" spans="14:23">
      <c r="N35" s="1"/>
      <c r="O35" s="27"/>
      <c r="Q35" s="61"/>
      <c r="W35" s="1"/>
    </row>
    <row r="36" spans="14:23">
      <c r="N36" s="1"/>
      <c r="O36" s="27"/>
      <c r="Q36" s="61"/>
      <c r="W36" s="1"/>
    </row>
    <row r="37" spans="14:23">
      <c r="N37" s="1"/>
      <c r="O37" s="27"/>
      <c r="Q37" s="61"/>
      <c r="W37" s="1"/>
    </row>
    <row r="38" spans="14:23">
      <c r="N38" s="1"/>
      <c r="O38" s="27"/>
      <c r="Q38" s="61"/>
      <c r="W38" s="1"/>
    </row>
    <row r="39" spans="14:23">
      <c r="N39" s="1"/>
      <c r="O39" s="27"/>
      <c r="Q39" s="61"/>
      <c r="W39" s="1"/>
    </row>
    <row r="40" spans="14:23">
      <c r="N40" s="1"/>
      <c r="O40" s="27"/>
      <c r="Q40" s="61"/>
      <c r="W40" s="1"/>
    </row>
    <row r="41" spans="14:23">
      <c r="N41" s="1"/>
      <c r="O41" s="27"/>
      <c r="Q41" s="61"/>
      <c r="W41" s="1"/>
    </row>
    <row r="42" spans="14:23">
      <c r="N42" s="1"/>
      <c r="O42" s="27"/>
      <c r="Q42" s="61"/>
      <c r="W42" s="1"/>
    </row>
    <row r="43" spans="14:23">
      <c r="N43" s="1"/>
      <c r="O43" s="27"/>
      <c r="Q43" s="61"/>
      <c r="W43" s="1"/>
    </row>
    <row r="44" spans="14:23">
      <c r="N44" s="1"/>
      <c r="O44" s="27"/>
      <c r="Q44" s="61"/>
      <c r="W44" s="1"/>
    </row>
    <row r="45" spans="14:23">
      <c r="N45" s="1"/>
      <c r="O45" s="27"/>
      <c r="Q45" s="61"/>
      <c r="W45" s="1"/>
    </row>
    <row r="46" spans="14:23">
      <c r="N46" s="1"/>
      <c r="O46" s="27"/>
      <c r="Q46" s="61"/>
      <c r="W46" s="1"/>
    </row>
    <row r="47" spans="14:23">
      <c r="N47" s="1"/>
      <c r="O47" s="27"/>
      <c r="Q47" s="61"/>
      <c r="W47" s="1"/>
    </row>
    <row r="48" spans="14:23">
      <c r="N48" s="1"/>
      <c r="O48" s="27"/>
      <c r="Q48" s="61"/>
      <c r="W48" s="1"/>
    </row>
    <row r="49" spans="14:23">
      <c r="N49" s="1"/>
      <c r="O49" s="27"/>
      <c r="Q49" s="61"/>
      <c r="W49" s="1"/>
    </row>
    <row r="50" spans="14:23">
      <c r="N50" s="1"/>
      <c r="O50" s="27"/>
      <c r="Q50" s="61"/>
      <c r="W50" s="1"/>
    </row>
    <row r="51" spans="14:23">
      <c r="N51" s="1"/>
      <c r="O51" s="27"/>
      <c r="Q51" s="61"/>
      <c r="W51" s="1"/>
    </row>
    <row r="52" spans="14:23">
      <c r="N52" s="1"/>
      <c r="O52" s="27"/>
      <c r="Q52" s="61"/>
      <c r="W52" s="1"/>
    </row>
    <row r="53" spans="14:23">
      <c r="N53" s="1"/>
      <c r="O53" s="27"/>
      <c r="Q53" s="61"/>
      <c r="W53" s="1"/>
    </row>
    <row r="54" spans="14:23">
      <c r="N54" s="1"/>
      <c r="O54" s="27"/>
      <c r="Q54" s="61"/>
      <c r="W54" s="1"/>
    </row>
    <row r="55" spans="14:23">
      <c r="N55" s="1"/>
      <c r="O55" s="27"/>
      <c r="Q55" s="61"/>
      <c r="W55" s="1"/>
    </row>
    <row r="56" spans="14:23">
      <c r="N56" s="1"/>
      <c r="O56" s="27"/>
      <c r="Q56" s="61"/>
      <c r="W56" s="1"/>
    </row>
    <row r="57" spans="14:23">
      <c r="N57" s="1"/>
      <c r="O57" s="27"/>
      <c r="Q57" s="61"/>
      <c r="W57" s="1"/>
    </row>
    <row r="58" spans="14:23">
      <c r="N58" s="1"/>
      <c r="O58" s="27"/>
      <c r="Q58" s="61"/>
      <c r="W58" s="1"/>
    </row>
    <row r="59" spans="14:23">
      <c r="N59" s="1"/>
      <c r="O59" s="27"/>
      <c r="Q59" s="61"/>
      <c r="W59" s="1"/>
    </row>
    <row r="60" spans="14:23">
      <c r="N60" s="1"/>
      <c r="O60" s="27"/>
      <c r="Q60" s="61"/>
      <c r="W60" s="1"/>
    </row>
    <row r="61" spans="14:23">
      <c r="N61" s="1"/>
      <c r="O61" s="27"/>
      <c r="Q61" s="61"/>
      <c r="W61" s="1"/>
    </row>
    <row r="62" spans="14:23">
      <c r="N62" s="1"/>
      <c r="O62" s="27"/>
      <c r="Q62" s="61"/>
      <c r="W62" s="1"/>
    </row>
    <row r="63" spans="14:23">
      <c r="N63" s="1"/>
      <c r="O63" s="27"/>
      <c r="Q63" s="61"/>
      <c r="W63" s="1"/>
    </row>
    <row r="64" spans="14:23">
      <c r="N64" s="1"/>
      <c r="O64" s="27"/>
      <c r="Q64" s="61"/>
      <c r="W64" s="1"/>
    </row>
    <row r="65" spans="14:23">
      <c r="N65" s="1"/>
      <c r="O65" s="27"/>
      <c r="Q65" s="61"/>
      <c r="W65" s="1"/>
    </row>
    <row r="66" spans="14:23">
      <c r="N66" s="1"/>
      <c r="O66" s="27"/>
      <c r="Q66" s="61"/>
      <c r="W66" s="1"/>
    </row>
    <row r="67" spans="14:23">
      <c r="N67" s="1"/>
      <c r="O67" s="27"/>
      <c r="Q67" s="61"/>
      <c r="W67" s="1"/>
    </row>
    <row r="68" spans="14:23">
      <c r="N68" s="1"/>
      <c r="O68" s="27"/>
      <c r="Q68" s="61"/>
      <c r="W68" s="1"/>
    </row>
    <row r="69" spans="14:23">
      <c r="N69" s="1"/>
      <c r="O69" s="27"/>
      <c r="Q69" s="61"/>
      <c r="W69" s="1"/>
    </row>
    <row r="70" spans="14:23">
      <c r="N70" s="1"/>
      <c r="O70" s="27"/>
      <c r="Q70" s="61"/>
      <c r="W70" s="1"/>
    </row>
    <row r="71" spans="14:23">
      <c r="N71" s="1"/>
      <c r="O71" s="27"/>
      <c r="Q71" s="61"/>
      <c r="W71" s="1"/>
    </row>
    <row r="72" spans="14:23">
      <c r="N72" s="1"/>
      <c r="O72" s="27"/>
      <c r="Q72" s="61"/>
      <c r="W72" s="1"/>
    </row>
    <row r="73" spans="14:23">
      <c r="N73" s="1"/>
      <c r="O73" s="27"/>
      <c r="Q73" s="61"/>
      <c r="W73" s="1"/>
    </row>
    <row r="74" spans="14:23">
      <c r="N74" s="1"/>
      <c r="O74" s="27"/>
      <c r="Q74" s="61"/>
      <c r="W74" s="1"/>
    </row>
    <row r="75" spans="14:23">
      <c r="N75" s="1"/>
      <c r="O75" s="27"/>
      <c r="Q75" s="61"/>
      <c r="W75" s="1"/>
    </row>
    <row r="76" spans="14:23">
      <c r="N76" s="1"/>
      <c r="O76" s="27"/>
      <c r="Q76" s="61"/>
      <c r="W76" s="1"/>
    </row>
    <row r="77" spans="14:23">
      <c r="N77" s="1"/>
      <c r="O77" s="27"/>
      <c r="Q77" s="61"/>
      <c r="W77" s="1"/>
    </row>
    <row r="78" spans="14:23">
      <c r="N78" s="1"/>
      <c r="O78" s="27"/>
      <c r="Q78" s="61"/>
      <c r="W78" s="1"/>
    </row>
    <row r="79" spans="14:23">
      <c r="N79" s="1"/>
      <c r="O79" s="27"/>
      <c r="Q79" s="61"/>
      <c r="W79" s="1"/>
    </row>
    <row r="80" spans="14:23">
      <c r="N80" s="1"/>
      <c r="O80" s="27"/>
      <c r="Q80" s="61"/>
      <c r="W80" s="1"/>
    </row>
    <row r="81" spans="14:23">
      <c r="N81" s="1"/>
      <c r="O81" s="27"/>
      <c r="Q81" s="61"/>
      <c r="W81" s="1"/>
    </row>
    <row r="82" spans="14:23">
      <c r="N82" s="1"/>
      <c r="O82" s="27"/>
      <c r="Q82" s="61"/>
      <c r="W82" s="1"/>
    </row>
    <row r="83" spans="14:23">
      <c r="N83" s="1"/>
      <c r="O83" s="27"/>
      <c r="Q83" s="61"/>
      <c r="W83" s="1"/>
    </row>
    <row r="84" spans="14:23">
      <c r="N84" s="1"/>
      <c r="O84" s="27"/>
      <c r="Q84" s="61"/>
      <c r="W84" s="1"/>
    </row>
    <row r="85" spans="14:23">
      <c r="N85" s="1"/>
      <c r="O85" s="27"/>
      <c r="Q85" s="61"/>
      <c r="W85" s="1"/>
    </row>
    <row r="86" spans="14:23">
      <c r="N86" s="1"/>
      <c r="O86" s="27"/>
      <c r="Q86" s="61"/>
      <c r="W86" s="1"/>
    </row>
    <row r="87" spans="14:23">
      <c r="N87" s="1"/>
      <c r="O87" s="27"/>
      <c r="Q87" s="61"/>
      <c r="W87" s="1"/>
    </row>
    <row r="88" spans="14:23">
      <c r="N88" s="1"/>
      <c r="O88" s="27"/>
      <c r="Q88" s="61"/>
      <c r="W88" s="1"/>
    </row>
    <row r="89" spans="14:23">
      <c r="N89" s="1"/>
      <c r="O89" s="27"/>
      <c r="Q89" s="61"/>
      <c r="W89" s="1"/>
    </row>
    <row r="90" spans="14:23">
      <c r="N90" s="1"/>
      <c r="O90" s="27"/>
      <c r="Q90" s="61"/>
      <c r="W90" s="1"/>
    </row>
    <row r="91" spans="14:23">
      <c r="N91" s="1"/>
      <c r="O91" s="27"/>
      <c r="Q91" s="61"/>
      <c r="W91" s="1"/>
    </row>
    <row r="92" spans="14:23">
      <c r="N92" s="1"/>
      <c r="O92" s="27"/>
      <c r="Q92" s="61"/>
      <c r="W92" s="1"/>
    </row>
    <row r="93" spans="14:23">
      <c r="N93" s="1"/>
      <c r="O93" s="27"/>
      <c r="Q93" s="61"/>
      <c r="W93" s="1"/>
    </row>
    <row r="94" spans="14:23">
      <c r="N94" s="1"/>
      <c r="O94" s="27"/>
      <c r="Q94" s="61"/>
      <c r="W94" s="1"/>
    </row>
    <row r="95" spans="14:23">
      <c r="N95" s="1"/>
      <c r="O95" s="27"/>
      <c r="Q95" s="61"/>
      <c r="W95" s="1"/>
    </row>
    <row r="96" spans="14:23">
      <c r="N96" s="1"/>
      <c r="O96" s="27"/>
      <c r="Q96" s="61"/>
      <c r="W96" s="1"/>
    </row>
    <row r="97" spans="14:23">
      <c r="N97" s="1"/>
      <c r="O97" s="27"/>
      <c r="Q97" s="61"/>
      <c r="W97" s="1"/>
    </row>
    <row r="98" spans="14:23">
      <c r="N98" s="1"/>
      <c r="O98" s="27"/>
      <c r="Q98" s="61"/>
      <c r="W98" s="1"/>
    </row>
    <row r="99" spans="14:23">
      <c r="N99" s="1"/>
      <c r="O99" s="27"/>
      <c r="Q99" s="61"/>
      <c r="W99" s="1"/>
    </row>
    <row r="100" spans="14:23">
      <c r="N100" s="1"/>
      <c r="O100" s="27"/>
      <c r="Q100" s="61"/>
      <c r="W100" s="1"/>
    </row>
    <row r="101" spans="14:23">
      <c r="N101" s="1"/>
      <c r="O101" s="27"/>
      <c r="Q101" s="61"/>
      <c r="W101" s="1"/>
    </row>
    <row r="102" spans="14:23">
      <c r="N102" s="1"/>
      <c r="O102" s="27"/>
      <c r="Q102" s="61"/>
      <c r="W102" s="1"/>
    </row>
    <row r="103" spans="14:23">
      <c r="N103" s="1"/>
      <c r="O103" s="27"/>
      <c r="Q103" s="61"/>
      <c r="W103" s="1"/>
    </row>
    <row r="104" spans="14:23">
      <c r="N104" s="1"/>
      <c r="O104" s="27"/>
      <c r="Q104" s="61"/>
      <c r="W104" s="1"/>
    </row>
    <row r="105" spans="14:23">
      <c r="N105" s="1"/>
      <c r="O105" s="27"/>
      <c r="Q105" s="61"/>
      <c r="W105" s="1"/>
    </row>
    <row r="106" spans="14:23">
      <c r="N106" s="1"/>
      <c r="O106" s="27"/>
      <c r="Q106" s="61"/>
      <c r="W106" s="1"/>
    </row>
    <row r="107" spans="14:23">
      <c r="N107" s="1"/>
      <c r="O107" s="27"/>
      <c r="Q107" s="61"/>
      <c r="W107" s="1"/>
    </row>
    <row r="108" spans="14:23">
      <c r="N108" s="1"/>
      <c r="O108" s="27"/>
      <c r="Q108" s="61"/>
      <c r="W108" s="1"/>
    </row>
    <row r="109" spans="14:23">
      <c r="N109" s="1"/>
      <c r="O109" s="27"/>
      <c r="Q109" s="61"/>
      <c r="W109" s="1"/>
    </row>
    <row r="110" spans="14:23">
      <c r="N110" s="1"/>
      <c r="O110" s="27"/>
      <c r="Q110" s="61"/>
      <c r="W110" s="1"/>
    </row>
    <row r="111" spans="14:23">
      <c r="N111" s="1"/>
      <c r="O111" s="27"/>
      <c r="Q111" s="61"/>
      <c r="W111" s="1"/>
    </row>
    <row r="112" spans="14:23">
      <c r="N112" s="1"/>
      <c r="O112" s="27"/>
      <c r="Q112" s="61"/>
      <c r="W112" s="1"/>
    </row>
    <row r="113" spans="14:23">
      <c r="N113" s="1"/>
      <c r="O113" s="27"/>
      <c r="Q113" s="61"/>
      <c r="W113" s="1"/>
    </row>
    <row r="114" spans="14:23">
      <c r="N114" s="1"/>
      <c r="O114" s="27"/>
      <c r="Q114" s="61"/>
      <c r="W114" s="1"/>
    </row>
    <row r="115" spans="14:23">
      <c r="N115" s="1"/>
      <c r="O115" s="27"/>
      <c r="Q115" s="61"/>
      <c r="W115" s="1"/>
    </row>
    <row r="116" spans="14:23">
      <c r="N116" s="1"/>
      <c r="O116" s="27"/>
      <c r="Q116" s="61"/>
      <c r="W116" s="1"/>
    </row>
    <row r="117" spans="14:23">
      <c r="N117" s="1"/>
      <c r="O117" s="27"/>
      <c r="Q117" s="61"/>
      <c r="W117" s="1"/>
    </row>
    <row r="118" spans="14:23">
      <c r="N118" s="1"/>
      <c r="O118" s="27"/>
      <c r="Q118" s="61"/>
      <c r="W118" s="1"/>
    </row>
    <row r="119" spans="14:23">
      <c r="N119" s="1"/>
      <c r="O119" s="27"/>
      <c r="Q119" s="61"/>
      <c r="W119" s="1"/>
    </row>
    <row r="120" spans="14:23">
      <c r="N120" s="1"/>
      <c r="O120" s="27"/>
      <c r="Q120" s="61"/>
      <c r="W120" s="1"/>
    </row>
    <row r="121" spans="14:23">
      <c r="N121" s="1"/>
      <c r="O121" s="27"/>
      <c r="Q121" s="61"/>
      <c r="W121" s="1"/>
    </row>
    <row r="122" spans="14:23">
      <c r="N122" s="1"/>
      <c r="O122" s="27"/>
      <c r="Q122" s="61"/>
      <c r="W122" s="1"/>
    </row>
    <row r="123" spans="14:23">
      <c r="N123" s="1"/>
      <c r="O123" s="27"/>
      <c r="Q123" s="61"/>
      <c r="W123" s="1"/>
    </row>
    <row r="124" spans="14:23">
      <c r="N124" s="1"/>
      <c r="O124" s="27"/>
      <c r="Q124" s="61"/>
      <c r="W124" s="1"/>
    </row>
    <row r="125" spans="14:23">
      <c r="N125" s="1"/>
      <c r="O125" s="27"/>
      <c r="Q125" s="61"/>
      <c r="W125" s="1"/>
    </row>
    <row r="126" spans="14:23">
      <c r="N126" s="1"/>
      <c r="O126" s="27"/>
      <c r="Q126" s="61"/>
      <c r="W126" s="1"/>
    </row>
    <row r="127" spans="14:23">
      <c r="N127" s="1"/>
      <c r="O127" s="27"/>
      <c r="Q127" s="61"/>
      <c r="W127" s="1"/>
    </row>
    <row r="128" spans="14:23">
      <c r="N128" s="1"/>
      <c r="O128" s="27"/>
      <c r="Q128" s="61"/>
      <c r="W128" s="1"/>
    </row>
    <row r="129" spans="14:23">
      <c r="N129" s="1"/>
      <c r="O129" s="27"/>
      <c r="Q129" s="61"/>
      <c r="W129" s="1"/>
    </row>
    <row r="130" spans="14:23">
      <c r="N130" s="1"/>
      <c r="O130" s="27"/>
      <c r="Q130" s="61"/>
      <c r="W130" s="1"/>
    </row>
    <row r="131" spans="14:23">
      <c r="N131" s="1"/>
      <c r="O131" s="27"/>
      <c r="Q131" s="61"/>
      <c r="W131" s="1"/>
    </row>
    <row r="132" spans="14:23">
      <c r="N132" s="1"/>
      <c r="O132" s="27"/>
      <c r="Q132" s="61"/>
      <c r="W132" s="1"/>
    </row>
    <row r="133" spans="14:23">
      <c r="N133" s="1"/>
      <c r="O133" s="27"/>
      <c r="Q133" s="61"/>
      <c r="W133" s="1"/>
    </row>
    <row r="134" spans="14:23">
      <c r="N134" s="1"/>
      <c r="O134" s="27"/>
      <c r="Q134" s="61"/>
      <c r="W134" s="1"/>
    </row>
    <row r="135" spans="14:23">
      <c r="N135" s="1"/>
      <c r="O135" s="27"/>
      <c r="Q135" s="61"/>
      <c r="W135" s="1"/>
    </row>
    <row r="136" spans="14:23">
      <c r="N136" s="1"/>
      <c r="O136" s="27"/>
      <c r="Q136" s="61"/>
      <c r="W136" s="1"/>
    </row>
    <row r="137" spans="14:23">
      <c r="N137" s="1"/>
      <c r="O137" s="27"/>
      <c r="Q137" s="61"/>
      <c r="W137" s="1"/>
    </row>
    <row r="138" spans="14:23">
      <c r="N138" s="1"/>
      <c r="O138" s="27"/>
      <c r="Q138" s="61"/>
      <c r="W138" s="1"/>
    </row>
    <row r="139" spans="14:23">
      <c r="N139" s="1"/>
      <c r="O139" s="27"/>
      <c r="Q139" s="61"/>
      <c r="W139" s="1"/>
    </row>
    <row r="140" spans="14:23">
      <c r="N140" s="1"/>
      <c r="O140" s="27"/>
      <c r="Q140" s="61"/>
      <c r="W140" s="1"/>
    </row>
    <row r="141" spans="14:23">
      <c r="N141" s="1"/>
      <c r="O141" s="27"/>
      <c r="Q141" s="61"/>
      <c r="W141" s="1"/>
    </row>
    <row r="142" spans="14:23">
      <c r="N142" s="1"/>
      <c r="O142" s="27"/>
      <c r="Q142" s="61"/>
      <c r="W142" s="1"/>
    </row>
    <row r="143" spans="14:23">
      <c r="N143" s="1"/>
      <c r="O143" s="27"/>
      <c r="Q143" s="61"/>
      <c r="W143" s="1"/>
    </row>
    <row r="144" spans="14:23">
      <c r="N144" s="1"/>
      <c r="O144" s="27"/>
      <c r="Q144" s="61"/>
      <c r="W144" s="1"/>
    </row>
    <row r="145" spans="14:23">
      <c r="N145" s="1"/>
      <c r="O145" s="27"/>
      <c r="Q145" s="61"/>
      <c r="W145" s="1"/>
    </row>
    <row r="146" spans="14:23">
      <c r="N146" s="1"/>
      <c r="O146" s="27"/>
      <c r="Q146" s="61"/>
      <c r="W146" s="1"/>
    </row>
    <row r="147" spans="14:23">
      <c r="N147" s="1"/>
      <c r="O147" s="27"/>
      <c r="Q147" s="61"/>
      <c r="W147" s="1"/>
    </row>
    <row r="148" spans="14:23">
      <c r="N148" s="1"/>
      <c r="O148" s="27"/>
      <c r="Q148" s="61"/>
      <c r="W148" s="1"/>
    </row>
    <row r="149" spans="14:23">
      <c r="N149" s="1"/>
      <c r="O149" s="27"/>
      <c r="Q149" s="61"/>
      <c r="W149" s="1"/>
    </row>
    <row r="150" spans="14:23">
      <c r="N150" s="1"/>
      <c r="O150" s="27"/>
      <c r="Q150" s="61"/>
      <c r="W150" s="1"/>
    </row>
    <row r="151" spans="14:23">
      <c r="N151" s="1"/>
      <c r="O151" s="27"/>
      <c r="Q151" s="61"/>
      <c r="W151" s="1"/>
    </row>
    <row r="152" spans="14:23">
      <c r="N152" s="1"/>
      <c r="O152" s="27"/>
      <c r="Q152" s="61"/>
      <c r="W152" s="1"/>
    </row>
    <row r="153" spans="14:23">
      <c r="N153" s="1"/>
      <c r="O153" s="27"/>
      <c r="Q153" s="61"/>
      <c r="W153" s="1"/>
    </row>
    <row r="154" spans="14:23">
      <c r="N154" s="1"/>
      <c r="O154" s="27"/>
      <c r="Q154" s="61"/>
      <c r="W154" s="1"/>
    </row>
    <row r="155" spans="14:23">
      <c r="N155" s="1"/>
      <c r="O155" s="27"/>
      <c r="Q155" s="61"/>
      <c r="W155" s="1"/>
    </row>
    <row r="156" spans="14:23">
      <c r="N156" s="1"/>
      <c r="O156" s="27"/>
      <c r="Q156" s="61"/>
      <c r="W156" s="1"/>
    </row>
    <row r="157" spans="14:23">
      <c r="N157" s="1"/>
      <c r="O157" s="27"/>
      <c r="Q157" s="61"/>
      <c r="W157" s="1"/>
    </row>
    <row r="158" spans="14:23">
      <c r="N158" s="1"/>
      <c r="O158" s="27"/>
      <c r="Q158" s="61"/>
      <c r="W158" s="1"/>
    </row>
    <row r="159" spans="14:23">
      <c r="N159" s="1"/>
      <c r="O159" s="27"/>
      <c r="Q159" s="61"/>
      <c r="W159" s="1"/>
    </row>
    <row r="160" spans="14:23">
      <c r="N160" s="1"/>
      <c r="O160" s="27"/>
      <c r="Q160" s="61"/>
      <c r="W160" s="1"/>
    </row>
    <row r="161" spans="14:23">
      <c r="N161" s="1"/>
      <c r="O161" s="27"/>
      <c r="Q161" s="61"/>
      <c r="W161" s="1"/>
    </row>
    <row r="162" spans="14:23">
      <c r="N162" s="1"/>
      <c r="O162" s="27"/>
      <c r="Q162" s="61"/>
      <c r="W162" s="1"/>
    </row>
    <row r="163" spans="14:23">
      <c r="N163" s="1"/>
      <c r="O163" s="27"/>
      <c r="Q163" s="61"/>
      <c r="W163" s="1"/>
    </row>
    <row r="164" spans="14:23">
      <c r="N164" s="1"/>
      <c r="O164" s="27"/>
      <c r="Q164" s="61"/>
      <c r="W164" s="1"/>
    </row>
    <row r="165" spans="14:23">
      <c r="N165" s="1"/>
      <c r="O165" s="27"/>
      <c r="Q165" s="61"/>
      <c r="W165" s="1"/>
    </row>
    <row r="166" spans="14:23">
      <c r="N166" s="1"/>
      <c r="O166" s="27"/>
      <c r="Q166" s="61"/>
      <c r="W166" s="1"/>
    </row>
    <row r="167" spans="14:23">
      <c r="N167" s="1"/>
      <c r="O167" s="27"/>
      <c r="Q167" s="61"/>
      <c r="W167" s="1"/>
    </row>
    <row r="168" spans="14:23">
      <c r="N168" s="1"/>
      <c r="O168" s="27"/>
      <c r="Q168" s="61"/>
      <c r="W168" s="1"/>
    </row>
    <row r="169" spans="14:23">
      <c r="N169" s="1"/>
      <c r="O169" s="27"/>
      <c r="Q169" s="61"/>
      <c r="W169" s="1"/>
    </row>
    <row r="170" spans="14:23">
      <c r="N170" s="1"/>
      <c r="O170" s="27"/>
      <c r="Q170" s="61"/>
      <c r="W170" s="1"/>
    </row>
    <row r="171" spans="14:23">
      <c r="N171" s="1"/>
      <c r="O171" s="27"/>
      <c r="Q171" s="61"/>
      <c r="W171" s="1"/>
    </row>
    <row r="172" spans="14:23">
      <c r="N172" s="1"/>
      <c r="O172" s="27"/>
      <c r="Q172" s="61"/>
      <c r="W172" s="1"/>
    </row>
    <row r="173" spans="14:23">
      <c r="N173" s="1"/>
      <c r="O173" s="27"/>
      <c r="Q173" s="61"/>
      <c r="W173" s="1"/>
    </row>
    <row r="174" spans="14:23">
      <c r="N174" s="1"/>
      <c r="O174" s="27"/>
      <c r="Q174" s="61"/>
      <c r="W174" s="1"/>
    </row>
    <row r="175" spans="14:23">
      <c r="N175" s="1"/>
      <c r="O175" s="27"/>
      <c r="Q175" s="61"/>
      <c r="W175" s="1"/>
    </row>
    <row r="176" spans="14:23">
      <c r="N176" s="1"/>
      <c r="O176" s="27"/>
      <c r="Q176" s="61"/>
      <c r="W176" s="1"/>
    </row>
    <row r="177" spans="14:23">
      <c r="N177" s="1"/>
      <c r="O177" s="27"/>
      <c r="Q177" s="61"/>
      <c r="W177" s="1"/>
    </row>
    <row r="178" spans="14:23">
      <c r="N178" s="1"/>
      <c r="O178" s="27"/>
      <c r="Q178" s="61"/>
      <c r="W178" s="1"/>
    </row>
    <row r="179" spans="14:23">
      <c r="N179" s="1"/>
      <c r="O179" s="27"/>
      <c r="Q179" s="61"/>
      <c r="W179" s="1"/>
    </row>
    <row r="180" spans="14:23">
      <c r="N180" s="1"/>
      <c r="O180" s="27"/>
      <c r="Q180" s="61"/>
      <c r="W180" s="1"/>
    </row>
    <row r="181" spans="14:23">
      <c r="N181" s="1"/>
      <c r="O181" s="27"/>
      <c r="Q181" s="61"/>
      <c r="W181" s="1"/>
    </row>
    <row r="182" spans="14:23">
      <c r="N182" s="1"/>
      <c r="O182" s="27"/>
      <c r="Q182" s="61"/>
      <c r="W182" s="1"/>
    </row>
    <row r="183" spans="14:23">
      <c r="N183" s="1"/>
      <c r="O183" s="27"/>
      <c r="Q183" s="61"/>
      <c r="W183" s="1"/>
    </row>
    <row r="184" spans="14:23">
      <c r="N184" s="1"/>
      <c r="O184" s="27"/>
      <c r="Q184" s="61"/>
      <c r="W184" s="1"/>
    </row>
    <row r="185" spans="14:23">
      <c r="N185" s="1"/>
      <c r="O185" s="27"/>
      <c r="Q185" s="61"/>
      <c r="W185" s="1"/>
    </row>
    <row r="186" spans="14:23">
      <c r="N186" s="1"/>
      <c r="O186" s="27"/>
      <c r="Q186" s="61"/>
      <c r="W186" s="1"/>
    </row>
    <row r="187" spans="14:23">
      <c r="N187" s="1"/>
      <c r="O187" s="27"/>
      <c r="Q187" s="61"/>
      <c r="W187" s="1"/>
    </row>
    <row r="188" spans="14:23">
      <c r="N188" s="1"/>
      <c r="O188" s="27"/>
      <c r="Q188" s="61"/>
      <c r="W188" s="1"/>
    </row>
    <row r="189" spans="14:23">
      <c r="N189" s="1"/>
      <c r="O189" s="27"/>
      <c r="Q189" s="61"/>
      <c r="W189" s="1"/>
    </row>
    <row r="190" spans="14:23">
      <c r="N190" s="1"/>
      <c r="O190" s="27"/>
      <c r="Q190" s="61"/>
      <c r="W190" s="1"/>
    </row>
    <row r="191" spans="14:23">
      <c r="N191" s="1"/>
      <c r="O191" s="27"/>
      <c r="Q191" s="61"/>
      <c r="W191" s="1"/>
    </row>
    <row r="192" spans="14:23">
      <c r="N192" s="1"/>
      <c r="O192" s="27"/>
      <c r="Q192" s="61"/>
      <c r="W192" s="1"/>
    </row>
    <row r="193" spans="14:23">
      <c r="N193" s="1"/>
      <c r="O193" s="27"/>
      <c r="Q193" s="61"/>
      <c r="W193" s="1"/>
    </row>
    <row r="194" spans="14:23">
      <c r="N194" s="1"/>
      <c r="O194" s="27"/>
      <c r="Q194" s="61"/>
      <c r="W194" s="1"/>
    </row>
    <row r="195" spans="14:23">
      <c r="N195" s="1"/>
      <c r="O195" s="27"/>
      <c r="Q195" s="61"/>
      <c r="W195" s="1"/>
    </row>
    <row r="196" spans="14:23">
      <c r="N196" s="1"/>
      <c r="O196" s="27"/>
      <c r="Q196" s="61"/>
      <c r="W196" s="1"/>
    </row>
    <row r="197" spans="14:23">
      <c r="N197" s="1"/>
      <c r="O197" s="27"/>
      <c r="Q197" s="61"/>
      <c r="W197" s="1"/>
    </row>
    <row r="198" spans="14:23">
      <c r="N198" s="1"/>
      <c r="O198" s="27"/>
      <c r="Q198" s="61"/>
      <c r="W198" s="1"/>
    </row>
    <row r="199" spans="14:23">
      <c r="N199" s="1"/>
      <c r="O199" s="27"/>
      <c r="Q199" s="61"/>
      <c r="W199" s="1"/>
    </row>
    <row r="200" spans="14:23">
      <c r="N200" s="1"/>
      <c r="O200" s="27"/>
      <c r="Q200" s="61"/>
      <c r="W200" s="1"/>
    </row>
    <row r="201" spans="14:23">
      <c r="N201" s="1"/>
      <c r="O201" s="27"/>
      <c r="Q201" s="61"/>
      <c r="W201" s="1"/>
    </row>
    <row r="202" spans="14:23">
      <c r="N202" s="1"/>
      <c r="O202" s="27"/>
      <c r="Q202" s="61"/>
      <c r="W202" s="1"/>
    </row>
    <row r="203" spans="14:23">
      <c r="N203" s="1"/>
      <c r="O203" s="27"/>
      <c r="Q203" s="61"/>
      <c r="W203" s="1"/>
    </row>
    <row r="204" spans="14:23">
      <c r="N204" s="1"/>
      <c r="O204" s="27"/>
      <c r="Q204" s="61"/>
      <c r="W204" s="1"/>
    </row>
    <row r="205" spans="14:23">
      <c r="N205" s="1"/>
      <c r="O205" s="27"/>
      <c r="Q205" s="61"/>
      <c r="W205" s="1"/>
    </row>
    <row r="206" spans="14:23">
      <c r="N206" s="1"/>
      <c r="O206" s="27"/>
      <c r="Q206" s="61"/>
      <c r="W206" s="1"/>
    </row>
    <row r="207" spans="14:23">
      <c r="N207" s="1"/>
      <c r="O207" s="27"/>
      <c r="Q207" s="61"/>
      <c r="W207" s="1"/>
    </row>
    <row r="208" spans="14:23">
      <c r="N208" s="1"/>
      <c r="O208" s="27"/>
      <c r="Q208" s="61"/>
      <c r="W208" s="1"/>
    </row>
    <row r="209" spans="14:23">
      <c r="N209" s="1"/>
      <c r="O209" s="27"/>
      <c r="Q209" s="61"/>
      <c r="W209" s="1"/>
    </row>
    <row r="210" spans="14:23">
      <c r="N210" s="1"/>
      <c r="O210" s="27"/>
      <c r="Q210" s="61"/>
      <c r="W210" s="1"/>
    </row>
    <row r="211" spans="14:23">
      <c r="N211" s="1"/>
      <c r="O211" s="27"/>
      <c r="Q211" s="61"/>
      <c r="W211" s="1"/>
    </row>
    <row r="212" spans="14:23">
      <c r="N212" s="1"/>
      <c r="O212" s="27"/>
      <c r="Q212" s="61"/>
      <c r="W212" s="1"/>
    </row>
    <row r="213" spans="14:23">
      <c r="N213" s="1"/>
      <c r="O213" s="27"/>
      <c r="Q213" s="61"/>
      <c r="W213" s="1"/>
    </row>
    <row r="214" spans="14:23">
      <c r="N214" s="1"/>
      <c r="O214" s="27"/>
      <c r="Q214" s="61"/>
      <c r="W214" s="1"/>
    </row>
    <row r="215" spans="14:23">
      <c r="N215" s="1"/>
      <c r="O215" s="27"/>
      <c r="Q215" s="61"/>
      <c r="W215" s="1"/>
    </row>
    <row r="216" spans="14:23">
      <c r="N216" s="1"/>
      <c r="O216" s="27"/>
      <c r="Q216" s="61"/>
      <c r="W216" s="1"/>
    </row>
    <row r="217" spans="14:23">
      <c r="N217" s="1"/>
      <c r="O217" s="27"/>
      <c r="Q217" s="61"/>
      <c r="W217" s="1"/>
    </row>
    <row r="218" spans="14:23">
      <c r="N218" s="1"/>
      <c r="O218" s="27"/>
      <c r="Q218" s="61"/>
      <c r="W218" s="1"/>
    </row>
    <row r="219" spans="14:23">
      <c r="N219" s="1"/>
      <c r="O219" s="27"/>
      <c r="Q219" s="61"/>
      <c r="W219" s="1"/>
    </row>
    <row r="220" spans="14:23">
      <c r="N220" s="1"/>
      <c r="O220" s="27"/>
      <c r="Q220" s="61"/>
      <c r="W220" s="1"/>
    </row>
    <row r="221" spans="14:23">
      <c r="N221" s="1"/>
      <c r="O221" s="27"/>
      <c r="Q221" s="61"/>
      <c r="W221" s="1"/>
    </row>
    <row r="222" spans="14:23">
      <c r="N222" s="1"/>
      <c r="O222" s="27"/>
      <c r="Q222" s="61"/>
      <c r="W222" s="1"/>
    </row>
    <row r="223" spans="14:23">
      <c r="N223" s="1"/>
      <c r="O223" s="27"/>
      <c r="Q223" s="61"/>
      <c r="W223" s="1"/>
    </row>
    <row r="224" spans="14:23">
      <c r="N224" s="1"/>
      <c r="O224" s="27"/>
      <c r="Q224" s="61"/>
      <c r="W224" s="1"/>
    </row>
    <row r="225" spans="14:23">
      <c r="N225" s="1"/>
      <c r="O225" s="27"/>
      <c r="Q225" s="61"/>
      <c r="W225" s="1"/>
    </row>
    <row r="226" spans="14:23">
      <c r="N226" s="1"/>
      <c r="O226" s="27"/>
      <c r="Q226" s="61"/>
      <c r="W226" s="1"/>
    </row>
    <row r="227" spans="14:23">
      <c r="N227" s="1"/>
      <c r="O227" s="27"/>
      <c r="Q227" s="61"/>
      <c r="W227" s="1"/>
    </row>
    <row r="228" spans="14:23">
      <c r="N228" s="1"/>
      <c r="O228" s="27"/>
      <c r="Q228" s="61"/>
      <c r="W228" s="1"/>
    </row>
    <row r="229" spans="14:23">
      <c r="N229" s="1"/>
      <c r="O229" s="27"/>
      <c r="Q229" s="61"/>
      <c r="W229" s="1"/>
    </row>
    <row r="230" spans="14:23">
      <c r="N230" s="1"/>
      <c r="O230" s="27"/>
      <c r="Q230" s="61"/>
      <c r="W230" s="1"/>
    </row>
    <row r="231" spans="14:23">
      <c r="N231" s="1"/>
      <c r="O231" s="27"/>
      <c r="Q231" s="61"/>
      <c r="W231" s="1"/>
    </row>
    <row r="232" spans="14:23">
      <c r="N232" s="1"/>
      <c r="O232" s="27"/>
      <c r="Q232" s="61"/>
      <c r="W232" s="1"/>
    </row>
    <row r="233" spans="14:23">
      <c r="N233" s="1"/>
      <c r="O233" s="27"/>
      <c r="Q233" s="61"/>
      <c r="W233" s="1"/>
    </row>
    <row r="234" spans="14:23">
      <c r="N234" s="1"/>
      <c r="O234" s="27"/>
      <c r="Q234" s="61"/>
      <c r="W234" s="1"/>
    </row>
    <row r="235" spans="14:23">
      <c r="N235" s="1"/>
      <c r="O235" s="27"/>
      <c r="Q235" s="61"/>
      <c r="W235" s="1"/>
    </row>
    <row r="236" spans="14:23">
      <c r="N236" s="1"/>
      <c r="O236" s="27"/>
      <c r="Q236" s="61"/>
      <c r="W236" s="1"/>
    </row>
    <row r="237" spans="14:23">
      <c r="N237" s="1"/>
      <c r="O237" s="27"/>
      <c r="Q237" s="61"/>
      <c r="W237" s="1"/>
    </row>
    <row r="238" spans="14:23">
      <c r="N238" s="1"/>
      <c r="O238" s="27"/>
      <c r="Q238" s="61"/>
      <c r="W238" s="1"/>
    </row>
    <row r="239" spans="14:23">
      <c r="N239" s="1"/>
      <c r="O239" s="27"/>
      <c r="Q239" s="61"/>
      <c r="W239" s="1"/>
    </row>
    <row r="240" spans="14:23">
      <c r="N240" s="1"/>
      <c r="O240" s="27"/>
      <c r="Q240" s="61"/>
      <c r="W240" s="1"/>
    </row>
    <row r="241" spans="14:23">
      <c r="N241" s="1"/>
      <c r="O241" s="27"/>
      <c r="Q241" s="61"/>
      <c r="W241" s="1"/>
    </row>
    <row r="242" spans="14:23">
      <c r="N242" s="1"/>
      <c r="O242" s="27"/>
      <c r="Q242" s="61"/>
      <c r="W242" s="1"/>
    </row>
    <row r="243" spans="14:23">
      <c r="N243" s="1"/>
      <c r="O243" s="27"/>
      <c r="Q243" s="61"/>
      <c r="W243" s="1"/>
    </row>
    <row r="244" spans="14:23">
      <c r="N244" s="1"/>
      <c r="O244" s="27"/>
      <c r="Q244" s="61"/>
      <c r="W244" s="1"/>
    </row>
    <row r="245" spans="14:23">
      <c r="N245" s="1"/>
      <c r="O245" s="27"/>
      <c r="Q245" s="61"/>
      <c r="W245" s="1"/>
    </row>
    <row r="246" spans="14:23">
      <c r="N246" s="1"/>
      <c r="O246" s="27"/>
      <c r="Q246" s="61"/>
      <c r="W246" s="1"/>
    </row>
    <row r="247" spans="14:23">
      <c r="N247" s="1"/>
      <c r="O247" s="27"/>
      <c r="Q247" s="61"/>
      <c r="W247" s="1"/>
    </row>
    <row r="248" spans="14:23">
      <c r="N248" s="1"/>
      <c r="O248" s="27"/>
      <c r="Q248" s="61"/>
      <c r="W248" s="1"/>
    </row>
    <row r="249" spans="14:23">
      <c r="N249" s="1"/>
      <c r="O249" s="27"/>
      <c r="Q249" s="61"/>
      <c r="W249" s="1"/>
    </row>
    <row r="250" spans="14:23">
      <c r="N250" s="1"/>
      <c r="O250" s="27"/>
      <c r="Q250" s="61"/>
      <c r="W250" s="1"/>
    </row>
    <row r="251" spans="14:23">
      <c r="N251" s="1"/>
      <c r="O251" s="27"/>
      <c r="Q251" s="61"/>
      <c r="W251" s="1"/>
    </row>
    <row r="252" spans="14:23">
      <c r="N252" s="1"/>
      <c r="O252" s="27"/>
      <c r="Q252" s="61"/>
      <c r="W252" s="1"/>
    </row>
    <row r="253" spans="14:23">
      <c r="N253" s="1"/>
      <c r="O253" s="27"/>
      <c r="Q253" s="61"/>
      <c r="W253" s="1"/>
    </row>
    <row r="254" spans="14:23">
      <c r="N254" s="1"/>
      <c r="O254" s="27"/>
      <c r="Q254" s="61"/>
      <c r="W254" s="1"/>
    </row>
    <row r="255" spans="14:23">
      <c r="N255" s="1"/>
      <c r="O255" s="27"/>
      <c r="Q255" s="61"/>
      <c r="W255" s="1"/>
    </row>
    <row r="256" spans="14:23">
      <c r="N256" s="1"/>
      <c r="O256" s="27"/>
      <c r="Q256" s="61"/>
      <c r="W256" s="1"/>
    </row>
    <row r="257" spans="14:23">
      <c r="N257" s="1"/>
      <c r="O257" s="27"/>
      <c r="Q257" s="61"/>
      <c r="W257" s="1"/>
    </row>
    <row r="258" spans="14:23">
      <c r="N258" s="1"/>
      <c r="O258" s="27"/>
      <c r="Q258" s="61"/>
      <c r="W258" s="1"/>
    </row>
    <row r="259" spans="14:23">
      <c r="N259" s="1"/>
      <c r="O259" s="27"/>
      <c r="Q259" s="61"/>
      <c r="W259" s="1"/>
    </row>
    <row r="260" spans="14:23">
      <c r="N260" s="1"/>
      <c r="O260" s="27"/>
      <c r="Q260" s="61"/>
      <c r="W260" s="1"/>
    </row>
    <row r="261" spans="14:23">
      <c r="N261" s="1"/>
      <c r="O261" s="27"/>
      <c r="Q261" s="61"/>
      <c r="W261" s="1"/>
    </row>
    <row r="262" spans="14:23">
      <c r="N262" s="1"/>
      <c r="O262" s="27"/>
      <c r="Q262" s="61"/>
      <c r="W262" s="1"/>
    </row>
    <row r="263" spans="14:23">
      <c r="N263" s="1"/>
      <c r="O263" s="27"/>
      <c r="Q263" s="61"/>
      <c r="W263" s="1"/>
    </row>
    <row r="264" spans="14:23">
      <c r="N264" s="1"/>
      <c r="O264" s="27"/>
      <c r="Q264" s="61"/>
      <c r="W264" s="1"/>
    </row>
    <row r="265" spans="14:23">
      <c r="N265" s="1"/>
      <c r="O265" s="27"/>
      <c r="Q265" s="61"/>
      <c r="W265" s="1"/>
    </row>
    <row r="266" spans="14:23">
      <c r="N266" s="1"/>
      <c r="O266" s="27"/>
      <c r="Q266" s="61"/>
      <c r="W266" s="1"/>
    </row>
    <row r="267" spans="14:23">
      <c r="N267" s="1"/>
      <c r="O267" s="27"/>
      <c r="Q267" s="61"/>
      <c r="W267" s="1"/>
    </row>
    <row r="268" spans="14:23">
      <c r="N268" s="1"/>
      <c r="O268" s="27"/>
      <c r="Q268" s="61"/>
      <c r="W268" s="1"/>
    </row>
    <row r="269" spans="14:23">
      <c r="N269" s="1"/>
      <c r="O269" s="27"/>
      <c r="Q269" s="61"/>
      <c r="W269" s="1"/>
    </row>
    <row r="270" spans="14:23">
      <c r="N270" s="1"/>
      <c r="O270" s="27"/>
      <c r="Q270" s="61"/>
      <c r="W270" s="1"/>
    </row>
    <row r="271" spans="14:23">
      <c r="N271" s="1"/>
      <c r="O271" s="27"/>
      <c r="Q271" s="61"/>
      <c r="W271" s="1"/>
    </row>
    <row r="272" spans="14:23">
      <c r="N272" s="1"/>
      <c r="O272" s="27"/>
      <c r="Q272" s="61"/>
      <c r="W272" s="1"/>
    </row>
    <row r="273" spans="14:23">
      <c r="N273" s="1"/>
      <c r="O273" s="27"/>
      <c r="Q273" s="61"/>
      <c r="W273" s="1"/>
    </row>
    <row r="274" spans="14:23">
      <c r="N274" s="1"/>
      <c r="O274" s="27"/>
      <c r="Q274" s="61"/>
      <c r="W274" s="1"/>
    </row>
    <row r="275" spans="14:23">
      <c r="N275" s="1"/>
      <c r="O275" s="27"/>
      <c r="Q275" s="61"/>
      <c r="W275" s="1"/>
    </row>
    <row r="276" spans="14:23">
      <c r="N276" s="1"/>
      <c r="O276" s="27"/>
      <c r="Q276" s="61"/>
      <c r="W276" s="1"/>
    </row>
    <row r="277" spans="14:23">
      <c r="N277" s="1"/>
      <c r="O277" s="27"/>
      <c r="Q277" s="61"/>
      <c r="W277" s="1"/>
    </row>
    <row r="278" spans="14:23">
      <c r="N278" s="1"/>
      <c r="O278" s="27"/>
      <c r="Q278" s="61"/>
      <c r="W278" s="1"/>
    </row>
    <row r="279" spans="14:23">
      <c r="N279" s="1"/>
      <c r="O279" s="27"/>
      <c r="Q279" s="61"/>
      <c r="W279" s="1"/>
    </row>
    <row r="280" spans="14:23">
      <c r="N280" s="1"/>
      <c r="O280" s="27"/>
      <c r="Q280" s="61"/>
      <c r="W280" s="1"/>
    </row>
    <row r="281" spans="14:23">
      <c r="N281" s="1"/>
      <c r="O281" s="27"/>
      <c r="Q281" s="61"/>
      <c r="W281" s="1"/>
    </row>
    <row r="282" spans="14:23">
      <c r="N282" s="1"/>
      <c r="O282" s="27"/>
      <c r="Q282" s="61"/>
      <c r="W282" s="1"/>
    </row>
    <row r="283" spans="14:23">
      <c r="N283" s="1"/>
      <c r="O283" s="27"/>
      <c r="Q283" s="61"/>
      <c r="W283" s="1"/>
    </row>
    <row r="284" spans="14:23">
      <c r="N284" s="1"/>
      <c r="O284" s="27"/>
      <c r="Q284" s="61"/>
      <c r="W284" s="1"/>
    </row>
    <row r="285" spans="14:23">
      <c r="N285" s="1"/>
      <c r="O285" s="27"/>
      <c r="Q285" s="61"/>
      <c r="W285" s="1"/>
    </row>
    <row r="286" spans="14:23">
      <c r="N286" s="1"/>
      <c r="O286" s="27"/>
      <c r="Q286" s="61"/>
      <c r="W286" s="1"/>
    </row>
    <row r="287" spans="14:23">
      <c r="N287" s="1"/>
      <c r="O287" s="27"/>
      <c r="Q287" s="61"/>
      <c r="W287" s="1"/>
    </row>
    <row r="288" spans="14:23">
      <c r="N288" s="1"/>
      <c r="O288" s="27"/>
      <c r="Q288" s="61"/>
      <c r="W288" s="1"/>
    </row>
    <row r="289" spans="14:23">
      <c r="N289" s="1"/>
      <c r="O289" s="27"/>
      <c r="Q289" s="61"/>
      <c r="W289" s="1"/>
    </row>
    <row r="290" spans="14:23">
      <c r="N290" s="1"/>
      <c r="O290" s="27"/>
      <c r="Q290" s="61"/>
      <c r="W290" s="1"/>
    </row>
    <row r="291" spans="14:23">
      <c r="N291" s="1"/>
      <c r="O291" s="27"/>
      <c r="Q291" s="61"/>
      <c r="W291" s="1"/>
    </row>
    <row r="292" spans="14:23">
      <c r="N292" s="1"/>
      <c r="O292" s="27"/>
      <c r="Q292" s="61"/>
      <c r="W292" s="1"/>
    </row>
    <row r="293" spans="14:23">
      <c r="N293" s="1"/>
      <c r="O293" s="27"/>
      <c r="Q293" s="61"/>
      <c r="W293" s="1"/>
    </row>
    <row r="294" spans="14:23">
      <c r="N294" s="1"/>
      <c r="O294" s="27"/>
      <c r="Q294" s="61"/>
      <c r="W294" s="1"/>
    </row>
    <row r="295" spans="14:23">
      <c r="N295" s="1"/>
      <c r="O295" s="27"/>
      <c r="Q295" s="61"/>
      <c r="W295" s="1"/>
    </row>
    <row r="296" spans="14:23">
      <c r="N296" s="1"/>
      <c r="O296" s="27"/>
      <c r="Q296" s="61"/>
      <c r="W296" s="1"/>
    </row>
    <row r="297" spans="14:23">
      <c r="N297" s="1"/>
      <c r="O297" s="27"/>
      <c r="Q297" s="61"/>
      <c r="W297" s="1"/>
    </row>
    <row r="298" spans="14:23">
      <c r="N298" s="1"/>
      <c r="O298" s="27"/>
      <c r="Q298" s="61"/>
      <c r="W298" s="1"/>
    </row>
    <row r="299" spans="14:23">
      <c r="N299" s="1"/>
      <c r="O299" s="27"/>
      <c r="Q299" s="61"/>
      <c r="W299" s="1"/>
    </row>
    <row r="300" spans="14:23">
      <c r="N300" s="1"/>
      <c r="O300" s="27"/>
      <c r="Q300" s="61"/>
      <c r="W300" s="1"/>
    </row>
    <row r="301" spans="14:23">
      <c r="N301" s="1"/>
      <c r="O301" s="27"/>
      <c r="Q301" s="61"/>
      <c r="W301" s="1"/>
    </row>
    <row r="302" spans="14:23">
      <c r="N302" s="1"/>
      <c r="O302" s="27"/>
      <c r="Q302" s="61"/>
      <c r="W302" s="1"/>
    </row>
    <row r="303" spans="14:23">
      <c r="N303" s="1"/>
      <c r="O303" s="27"/>
      <c r="Q303" s="61"/>
      <c r="W303" s="1"/>
    </row>
    <row r="304" spans="14:23">
      <c r="N304" s="1"/>
      <c r="O304" s="27"/>
      <c r="Q304" s="61"/>
      <c r="W304" s="1"/>
    </row>
    <row r="305" spans="14:23">
      <c r="N305" s="1"/>
      <c r="O305" s="27"/>
      <c r="Q305" s="61"/>
      <c r="W305" s="1"/>
    </row>
    <row r="306" spans="14:23">
      <c r="N306" s="1"/>
      <c r="O306" s="27"/>
      <c r="Q306" s="61"/>
      <c r="W306" s="1"/>
    </row>
    <row r="307" spans="14:23">
      <c r="N307" s="1"/>
      <c r="O307" s="27"/>
      <c r="Q307" s="61"/>
      <c r="W307" s="1"/>
    </row>
    <row r="308" spans="14:23">
      <c r="N308" s="1"/>
      <c r="O308" s="27"/>
      <c r="Q308" s="61"/>
      <c r="W308" s="1"/>
    </row>
    <row r="309" spans="14:23">
      <c r="N309" s="1"/>
      <c r="O309" s="27"/>
      <c r="Q309" s="61"/>
      <c r="W309" s="1"/>
    </row>
    <row r="310" spans="14:23">
      <c r="N310" s="1"/>
      <c r="O310" s="27"/>
      <c r="Q310" s="61"/>
      <c r="W310" s="1"/>
    </row>
    <row r="311" spans="14:23">
      <c r="N311" s="1"/>
      <c r="O311" s="27"/>
      <c r="Q311" s="61"/>
      <c r="W311" s="1"/>
    </row>
    <row r="312" spans="14:23">
      <c r="N312" s="1"/>
      <c r="O312" s="27"/>
      <c r="Q312" s="61"/>
      <c r="W312" s="1"/>
    </row>
    <row r="313" spans="14:23">
      <c r="N313" s="1"/>
      <c r="O313" s="27"/>
      <c r="Q313" s="61"/>
      <c r="W313" s="1"/>
    </row>
    <row r="314" spans="14:23">
      <c r="N314" s="1"/>
      <c r="O314" s="27"/>
      <c r="Q314" s="61"/>
      <c r="W314" s="1"/>
    </row>
    <row r="315" spans="14:23">
      <c r="N315" s="1"/>
      <c r="O315" s="27"/>
      <c r="Q315" s="61"/>
      <c r="W315" s="1"/>
    </row>
    <row r="316" spans="14:23">
      <c r="N316" s="1"/>
      <c r="O316" s="27"/>
      <c r="Q316" s="61"/>
      <c r="W316" s="1"/>
    </row>
    <row r="317" spans="14:23">
      <c r="N317" s="1"/>
      <c r="O317" s="27"/>
      <c r="Q317" s="61"/>
      <c r="W317" s="1"/>
    </row>
    <row r="318" spans="14:23">
      <c r="N318" s="1"/>
      <c r="O318" s="27"/>
      <c r="Q318" s="61"/>
      <c r="W318" s="1"/>
    </row>
    <row r="319" spans="14:23">
      <c r="N319" s="1"/>
      <c r="O319" s="27"/>
      <c r="Q319" s="61"/>
      <c r="W319" s="1"/>
    </row>
    <row r="320" spans="14:23">
      <c r="N320" s="1"/>
      <c r="O320" s="27"/>
      <c r="Q320" s="61"/>
      <c r="W320" s="1"/>
    </row>
    <row r="321" spans="14:23">
      <c r="N321" s="1"/>
      <c r="O321" s="27"/>
      <c r="Q321" s="61"/>
      <c r="W321" s="1"/>
    </row>
    <row r="322" spans="14:23">
      <c r="N322" s="1"/>
      <c r="O322" s="27"/>
      <c r="Q322" s="61"/>
      <c r="W322" s="1"/>
    </row>
    <row r="323" spans="14:23">
      <c r="N323" s="1"/>
      <c r="O323" s="27"/>
      <c r="Q323" s="61"/>
      <c r="W323" s="1"/>
    </row>
    <row r="324" spans="14:23">
      <c r="N324" s="1"/>
      <c r="O324" s="27"/>
      <c r="Q324" s="61"/>
      <c r="W324" s="1"/>
    </row>
    <row r="325" spans="14:23">
      <c r="N325" s="1"/>
      <c r="O325" s="27"/>
      <c r="Q325" s="61"/>
      <c r="W325" s="1"/>
    </row>
    <row r="326" spans="14:23">
      <c r="N326" s="1"/>
      <c r="O326" s="27"/>
      <c r="Q326" s="61"/>
      <c r="W326" s="1"/>
    </row>
    <row r="327" spans="14:23">
      <c r="N327" s="1"/>
      <c r="O327" s="27"/>
      <c r="Q327" s="61"/>
      <c r="W327" s="1"/>
    </row>
    <row r="328" spans="14:23">
      <c r="N328" s="1"/>
      <c r="O328" s="27"/>
      <c r="Q328" s="61"/>
      <c r="W328" s="1"/>
    </row>
    <row r="329" spans="14:23">
      <c r="N329" s="1"/>
      <c r="O329" s="27"/>
      <c r="Q329" s="61"/>
      <c r="W329" s="1"/>
    </row>
    <row r="330" spans="14:23">
      <c r="N330" s="1"/>
      <c r="O330" s="27"/>
      <c r="Q330" s="61"/>
      <c r="W330" s="1"/>
    </row>
    <row r="331" spans="14:23">
      <c r="N331" s="1"/>
      <c r="O331" s="27"/>
      <c r="Q331" s="61"/>
      <c r="W331" s="1"/>
    </row>
    <row r="332" spans="14:23">
      <c r="N332" s="1"/>
      <c r="O332" s="27"/>
      <c r="Q332" s="61"/>
      <c r="W332" s="1"/>
    </row>
    <row r="333" spans="14:23">
      <c r="N333" s="1"/>
      <c r="O333" s="27"/>
      <c r="Q333" s="61"/>
      <c r="W333" s="1"/>
    </row>
    <row r="334" spans="14:23">
      <c r="N334" s="1"/>
      <c r="O334" s="27"/>
      <c r="Q334" s="61"/>
      <c r="W334" s="1"/>
    </row>
    <row r="335" spans="14:23">
      <c r="N335" s="1"/>
      <c r="O335" s="27"/>
      <c r="Q335" s="61"/>
      <c r="W335" s="1"/>
    </row>
    <row r="336" spans="14:23">
      <c r="N336" s="1"/>
      <c r="O336" s="27"/>
      <c r="Q336" s="61"/>
      <c r="W336" s="1"/>
    </row>
    <row r="337" spans="14:23">
      <c r="N337" s="1"/>
      <c r="O337" s="27"/>
      <c r="Q337" s="61"/>
      <c r="W337" s="1"/>
    </row>
    <row r="338" spans="14:23">
      <c r="N338" s="1"/>
      <c r="O338" s="27"/>
      <c r="Q338" s="61"/>
      <c r="W338" s="1"/>
    </row>
    <row r="339" spans="14:23">
      <c r="N339" s="1"/>
      <c r="O339" s="27"/>
      <c r="Q339" s="61"/>
      <c r="W339" s="1"/>
    </row>
    <row r="340" spans="14:23">
      <c r="N340" s="1"/>
      <c r="O340" s="27"/>
      <c r="Q340" s="61"/>
      <c r="W340" s="1"/>
    </row>
    <row r="341" spans="14:23">
      <c r="N341" s="1"/>
      <c r="O341" s="27"/>
      <c r="Q341" s="61"/>
      <c r="W341" s="1"/>
    </row>
    <row r="342" spans="14:23">
      <c r="N342" s="1"/>
      <c r="O342" s="27"/>
      <c r="Q342" s="61"/>
      <c r="W342" s="1"/>
    </row>
    <row r="343" spans="14:23">
      <c r="N343" s="1"/>
      <c r="O343" s="27"/>
      <c r="Q343" s="61"/>
      <c r="W343" s="1"/>
    </row>
    <row r="344" spans="14:23">
      <c r="N344" s="1"/>
      <c r="O344" s="27"/>
      <c r="Q344" s="61"/>
      <c r="W344" s="1"/>
    </row>
    <row r="345" spans="14:23">
      <c r="N345" s="1"/>
      <c r="O345" s="27"/>
      <c r="Q345" s="61"/>
      <c r="W345" s="1"/>
    </row>
    <row r="346" spans="14:23">
      <c r="N346" s="1"/>
      <c r="O346" s="27"/>
      <c r="Q346" s="61"/>
      <c r="W346" s="1"/>
    </row>
    <row r="347" spans="14:23">
      <c r="N347" s="1"/>
      <c r="O347" s="27"/>
      <c r="Q347" s="61"/>
      <c r="W347" s="1"/>
    </row>
    <row r="348" spans="14:23">
      <c r="N348" s="1"/>
      <c r="O348" s="27"/>
      <c r="Q348" s="61"/>
      <c r="W348" s="1"/>
    </row>
    <row r="349" spans="14:23">
      <c r="N349" s="1"/>
      <c r="O349" s="27"/>
      <c r="Q349" s="61"/>
      <c r="W349" s="1"/>
    </row>
    <row r="350" spans="14:23">
      <c r="N350" s="1"/>
      <c r="O350" s="27"/>
      <c r="Q350" s="61"/>
      <c r="W350" s="1"/>
    </row>
    <row r="351" spans="14:23">
      <c r="N351" s="1"/>
      <c r="O351" s="27"/>
      <c r="Q351" s="61"/>
      <c r="W351" s="1"/>
    </row>
    <row r="352" spans="14:23">
      <c r="N352" s="1"/>
      <c r="O352" s="27"/>
      <c r="Q352" s="61"/>
      <c r="W352" s="1"/>
    </row>
    <row r="353" spans="14:23">
      <c r="N353" s="1"/>
      <c r="O353" s="27"/>
      <c r="Q353" s="61"/>
      <c r="W353" s="1"/>
    </row>
    <row r="354" spans="14:23">
      <c r="N354" s="1"/>
      <c r="O354" s="27"/>
      <c r="Q354" s="61"/>
      <c r="W354" s="1"/>
    </row>
    <row r="355" spans="14:23">
      <c r="N355" s="1"/>
      <c r="O355" s="27"/>
      <c r="Q355" s="61"/>
      <c r="W355" s="1"/>
    </row>
    <row r="356" spans="14:23">
      <c r="N356" s="1"/>
      <c r="O356" s="27"/>
      <c r="Q356" s="61"/>
      <c r="W356" s="1"/>
    </row>
    <row r="357" spans="14:23">
      <c r="N357" s="1"/>
      <c r="O357" s="27"/>
      <c r="Q357" s="61"/>
      <c r="W357" s="1"/>
    </row>
    <row r="358" spans="14:23">
      <c r="N358" s="1"/>
      <c r="O358" s="27"/>
      <c r="Q358" s="61"/>
      <c r="W358" s="1"/>
    </row>
    <row r="359" spans="14:23">
      <c r="N359" s="1"/>
      <c r="O359" s="27"/>
      <c r="Q359" s="61"/>
      <c r="W359" s="1"/>
    </row>
    <row r="360" spans="14:23">
      <c r="N360" s="1"/>
      <c r="O360" s="27"/>
      <c r="Q360" s="61"/>
      <c r="W360" s="1"/>
    </row>
    <row r="361" spans="14:23">
      <c r="N361" s="1"/>
      <c r="O361" s="27"/>
      <c r="Q361" s="61"/>
      <c r="W361" s="1"/>
    </row>
    <row r="362" spans="14:23">
      <c r="N362" s="1"/>
      <c r="O362" s="27"/>
      <c r="Q362" s="61"/>
      <c r="W362" s="1"/>
    </row>
    <row r="363" spans="14:23">
      <c r="N363" s="1"/>
      <c r="O363" s="27"/>
      <c r="Q363" s="61"/>
      <c r="W363" s="1"/>
    </row>
    <row r="364" spans="14:23">
      <c r="N364" s="1"/>
      <c r="O364" s="27"/>
      <c r="Q364" s="61"/>
      <c r="W364" s="1"/>
    </row>
    <row r="365" spans="14:23">
      <c r="N365" s="1"/>
      <c r="O365" s="27"/>
      <c r="Q365" s="61"/>
      <c r="W365" s="1"/>
    </row>
    <row r="366" spans="14:23">
      <c r="N366" s="1"/>
      <c r="O366" s="27"/>
      <c r="Q366" s="61"/>
      <c r="W366" s="1"/>
    </row>
    <row r="367" spans="14:23">
      <c r="N367" s="1"/>
      <c r="O367" s="27"/>
      <c r="Q367" s="61"/>
      <c r="W367" s="1"/>
    </row>
    <row r="368" spans="14:23">
      <c r="N368" s="1"/>
      <c r="O368" s="27"/>
      <c r="Q368" s="61"/>
      <c r="W368" s="1"/>
    </row>
    <row r="369" spans="14:23">
      <c r="N369" s="1"/>
      <c r="O369" s="27"/>
      <c r="Q369" s="61"/>
      <c r="W369" s="1"/>
    </row>
    <row r="370" spans="14:23">
      <c r="N370" s="1"/>
      <c r="O370" s="27"/>
      <c r="Q370" s="61"/>
      <c r="W370" s="1"/>
    </row>
    <row r="371" spans="14:23">
      <c r="N371" s="1"/>
      <c r="O371" s="27"/>
      <c r="Q371" s="61"/>
      <c r="W371" s="1"/>
    </row>
    <row r="372" spans="14:23">
      <c r="N372" s="1"/>
      <c r="O372" s="27"/>
      <c r="Q372" s="61"/>
      <c r="W372" s="1"/>
    </row>
    <row r="373" spans="14:23">
      <c r="N373" s="1"/>
      <c r="O373" s="27"/>
      <c r="Q373" s="61"/>
      <c r="W373" s="1"/>
    </row>
    <row r="374" spans="14:23">
      <c r="N374" s="1"/>
      <c r="O374" s="27"/>
      <c r="Q374" s="61"/>
      <c r="W374" s="1"/>
    </row>
    <row r="375" spans="14:23">
      <c r="N375" s="1"/>
      <c r="O375" s="27"/>
      <c r="Q375" s="61"/>
      <c r="W375" s="1"/>
    </row>
    <row r="376" spans="14:23">
      <c r="N376" s="1"/>
      <c r="O376" s="27"/>
      <c r="Q376" s="61"/>
      <c r="W376" s="1"/>
    </row>
    <row r="377" spans="14:23">
      <c r="N377" s="1"/>
      <c r="O377" s="27"/>
      <c r="Q377" s="61"/>
      <c r="W377" s="1"/>
    </row>
    <row r="378" spans="14:23">
      <c r="N378" s="1"/>
      <c r="O378" s="27"/>
      <c r="Q378" s="61"/>
      <c r="W378" s="1"/>
    </row>
    <row r="379" spans="14:23">
      <c r="N379" s="1"/>
      <c r="O379" s="27"/>
      <c r="Q379" s="61"/>
      <c r="W379" s="1"/>
    </row>
    <row r="380" spans="14:23">
      <c r="N380" s="1"/>
      <c r="O380" s="27"/>
      <c r="Q380" s="61"/>
      <c r="W380" s="1"/>
    </row>
    <row r="381" spans="14:23">
      <c r="N381" s="1"/>
      <c r="O381" s="27"/>
      <c r="Q381" s="61"/>
      <c r="W381" s="1"/>
    </row>
    <row r="382" spans="14:23">
      <c r="N382" s="1"/>
      <c r="O382" s="27"/>
      <c r="Q382" s="61"/>
      <c r="W382" s="1"/>
    </row>
    <row r="383" spans="14:23">
      <c r="N383" s="1"/>
      <c r="O383" s="27"/>
      <c r="Q383" s="61"/>
      <c r="W383" s="1"/>
    </row>
    <row r="384" spans="14:23">
      <c r="N384" s="1"/>
      <c r="O384" s="27"/>
      <c r="Q384" s="61"/>
      <c r="W384" s="1"/>
    </row>
    <row r="385" spans="14:23">
      <c r="N385" s="1"/>
      <c r="O385" s="27"/>
      <c r="Q385" s="61"/>
      <c r="W385" s="1"/>
    </row>
    <row r="386" spans="14:23">
      <c r="N386" s="1"/>
      <c r="O386" s="27"/>
      <c r="Q386" s="61"/>
      <c r="W386" s="1"/>
    </row>
    <row r="387" spans="14:23">
      <c r="N387" s="1"/>
      <c r="O387" s="27"/>
      <c r="Q387" s="61"/>
      <c r="W387" s="1"/>
    </row>
    <row r="388" spans="14:23">
      <c r="N388" s="1"/>
      <c r="O388" s="27"/>
      <c r="Q388" s="61"/>
      <c r="W388" s="1"/>
    </row>
    <row r="389" spans="14:23">
      <c r="N389" s="1"/>
      <c r="O389" s="27"/>
      <c r="Q389" s="61"/>
      <c r="W389" s="1"/>
    </row>
    <row r="390" spans="14:23">
      <c r="N390" s="1"/>
      <c r="O390" s="27"/>
      <c r="Q390" s="61"/>
      <c r="W390" s="1"/>
    </row>
    <row r="391" spans="14:23">
      <c r="N391" s="1"/>
      <c r="O391" s="27"/>
      <c r="Q391" s="61"/>
      <c r="W391" s="1"/>
    </row>
    <row r="392" spans="14:23">
      <c r="N392" s="1"/>
      <c r="O392" s="27"/>
      <c r="Q392" s="61"/>
      <c r="W392" s="1"/>
    </row>
    <row r="393" spans="14:23">
      <c r="N393" s="1"/>
      <c r="O393" s="27"/>
      <c r="Q393" s="61"/>
      <c r="W393" s="1"/>
    </row>
    <row r="394" spans="14:23">
      <c r="N394" s="1"/>
      <c r="O394" s="27"/>
      <c r="Q394" s="61"/>
      <c r="W394" s="1"/>
    </row>
    <row r="395" spans="14:23">
      <c r="N395" s="1"/>
      <c r="O395" s="27"/>
      <c r="Q395" s="61"/>
      <c r="W395" s="1"/>
    </row>
    <row r="396" spans="14:23">
      <c r="N396" s="1"/>
      <c r="O396" s="27"/>
      <c r="Q396" s="61"/>
      <c r="W396" s="1"/>
    </row>
    <row r="397" spans="14:23">
      <c r="N397" s="1"/>
      <c r="O397" s="27"/>
      <c r="Q397" s="61"/>
      <c r="W397" s="1"/>
    </row>
    <row r="398" spans="14:23">
      <c r="N398" s="1"/>
      <c r="O398" s="27"/>
      <c r="Q398" s="61"/>
      <c r="W398" s="1"/>
    </row>
    <row r="399" spans="14:23">
      <c r="N399" s="1"/>
      <c r="O399" s="27"/>
      <c r="Q399" s="61"/>
      <c r="W399" s="1"/>
    </row>
    <row r="400" spans="14:23">
      <c r="N400" s="1"/>
      <c r="O400" s="27"/>
      <c r="Q400" s="61"/>
      <c r="W400" s="1"/>
    </row>
    <row r="401" spans="14:23">
      <c r="N401" s="1"/>
      <c r="O401" s="27"/>
      <c r="Q401" s="61"/>
      <c r="W401" s="1"/>
    </row>
    <row r="402" spans="14:23">
      <c r="N402" s="1"/>
      <c r="O402" s="27"/>
      <c r="Q402" s="61"/>
      <c r="W402" s="1"/>
    </row>
    <row r="403" spans="14:23">
      <c r="N403" s="1"/>
      <c r="O403" s="27"/>
      <c r="Q403" s="61"/>
      <c r="W403" s="1"/>
    </row>
    <row r="404" spans="14:23">
      <c r="N404" s="1"/>
      <c r="O404" s="27"/>
      <c r="Q404" s="61"/>
      <c r="W404" s="1"/>
    </row>
    <row r="405" spans="14:23">
      <c r="N405" s="1"/>
      <c r="O405" s="27"/>
      <c r="Q405" s="61"/>
      <c r="W405" s="1"/>
    </row>
    <row r="406" spans="14:23">
      <c r="N406" s="1"/>
      <c r="O406" s="27"/>
      <c r="Q406" s="61"/>
      <c r="W406" s="1"/>
    </row>
    <row r="407" spans="14:23">
      <c r="N407" s="1"/>
      <c r="O407" s="27"/>
      <c r="Q407" s="61"/>
      <c r="W407" s="1"/>
    </row>
    <row r="408" spans="14:23">
      <c r="N408" s="1"/>
      <c r="O408" s="27"/>
      <c r="Q408" s="61"/>
      <c r="W408" s="1"/>
    </row>
    <row r="409" spans="14:23">
      <c r="N409" s="1"/>
      <c r="O409" s="27"/>
      <c r="Q409" s="61"/>
      <c r="W409" s="1"/>
    </row>
    <row r="410" spans="14:23">
      <c r="N410" s="1"/>
      <c r="O410" s="27"/>
      <c r="Q410" s="61"/>
      <c r="W410" s="1"/>
    </row>
    <row r="411" spans="14:23">
      <c r="N411" s="1"/>
      <c r="O411" s="27"/>
      <c r="Q411" s="61"/>
      <c r="W411" s="1"/>
    </row>
    <row r="412" spans="14:23">
      <c r="N412" s="1"/>
      <c r="O412" s="27"/>
      <c r="Q412" s="61"/>
      <c r="W412" s="1"/>
    </row>
    <row r="413" spans="14:23">
      <c r="N413" s="1"/>
      <c r="O413" s="27"/>
      <c r="Q413" s="61"/>
      <c r="W413" s="1"/>
    </row>
    <row r="414" spans="14:23">
      <c r="N414" s="1"/>
      <c r="O414" s="27"/>
      <c r="Q414" s="61"/>
      <c r="W414" s="1"/>
    </row>
    <row r="415" spans="14:23">
      <c r="N415" s="1"/>
      <c r="O415" s="27"/>
      <c r="Q415" s="61"/>
      <c r="W415" s="1"/>
    </row>
    <row r="416" spans="14:23">
      <c r="N416" s="1"/>
      <c r="O416" s="27"/>
      <c r="Q416" s="61"/>
      <c r="W416" s="1"/>
    </row>
    <row r="417" spans="14:23">
      <c r="N417" s="1"/>
      <c r="O417" s="27"/>
      <c r="Q417" s="61"/>
      <c r="W417" s="1"/>
    </row>
    <row r="418" spans="14:23">
      <c r="N418" s="1"/>
      <c r="O418" s="27"/>
      <c r="Q418" s="61"/>
      <c r="W418" s="1"/>
    </row>
    <row r="419" spans="14:23">
      <c r="N419" s="1"/>
      <c r="O419" s="27"/>
      <c r="Q419" s="61"/>
      <c r="W419" s="1"/>
    </row>
    <row r="420" spans="14:23">
      <c r="N420" s="1"/>
      <c r="O420" s="27"/>
      <c r="Q420" s="61"/>
      <c r="W420" s="1"/>
    </row>
    <row r="421" spans="14:23">
      <c r="N421" s="1"/>
      <c r="O421" s="27"/>
      <c r="Q421" s="61"/>
      <c r="W421" s="1"/>
    </row>
    <row r="422" spans="14:23">
      <c r="N422" s="1"/>
      <c r="O422" s="27"/>
      <c r="Q422" s="61"/>
      <c r="W422" s="1"/>
    </row>
    <row r="423" spans="14:23">
      <c r="N423" s="1"/>
      <c r="O423" s="27"/>
      <c r="Q423" s="61"/>
      <c r="W423" s="1"/>
    </row>
    <row r="424" spans="14:23">
      <c r="N424" s="1"/>
      <c r="O424" s="27"/>
      <c r="Q424" s="61"/>
      <c r="W424" s="1"/>
    </row>
    <row r="425" spans="14:23">
      <c r="N425" s="1"/>
      <c r="O425" s="27"/>
      <c r="Q425" s="61"/>
      <c r="W425" s="1"/>
    </row>
    <row r="426" spans="14:23">
      <c r="N426" s="1"/>
      <c r="O426" s="27"/>
      <c r="Q426" s="61"/>
      <c r="W426" s="1"/>
    </row>
    <row r="427" spans="14:23">
      <c r="N427" s="1"/>
      <c r="O427" s="27"/>
      <c r="Q427" s="61"/>
      <c r="W427" s="1"/>
    </row>
    <row r="428" spans="14:23">
      <c r="N428" s="1"/>
      <c r="O428" s="27"/>
      <c r="Q428" s="61"/>
      <c r="W428" s="1"/>
    </row>
    <row r="429" spans="14:23">
      <c r="N429" s="1"/>
      <c r="O429" s="27"/>
      <c r="Q429" s="61"/>
      <c r="W429" s="1"/>
    </row>
    <row r="430" spans="14:23">
      <c r="N430" s="1"/>
      <c r="O430" s="27"/>
      <c r="Q430" s="61"/>
      <c r="W430" s="1"/>
    </row>
    <row r="431" spans="14:23">
      <c r="N431" s="1"/>
      <c r="O431" s="27"/>
      <c r="Q431" s="61"/>
      <c r="W431" s="1"/>
    </row>
    <row r="432" spans="14:23">
      <c r="N432" s="1"/>
      <c r="O432" s="27"/>
      <c r="Q432" s="61"/>
      <c r="W432" s="1"/>
    </row>
    <row r="433" spans="14:23">
      <c r="N433" s="1"/>
      <c r="O433" s="27"/>
      <c r="Q433" s="61"/>
      <c r="W433" s="1"/>
    </row>
    <row r="434" spans="14:23">
      <c r="N434" s="1"/>
      <c r="O434" s="27"/>
      <c r="Q434" s="61"/>
      <c r="W434" s="1"/>
    </row>
    <row r="435" spans="14:23">
      <c r="N435" s="1"/>
      <c r="O435" s="27"/>
      <c r="Q435" s="61"/>
      <c r="W435" s="1"/>
    </row>
    <row r="436" spans="14:23">
      <c r="N436" s="1"/>
      <c r="O436" s="27"/>
      <c r="Q436" s="61"/>
      <c r="W436" s="1"/>
    </row>
    <row r="437" spans="14:23">
      <c r="N437" s="1"/>
      <c r="O437" s="27"/>
      <c r="Q437" s="61"/>
      <c r="W437" s="1"/>
    </row>
    <row r="438" spans="14:23">
      <c r="N438" s="1"/>
      <c r="O438" s="27"/>
      <c r="Q438" s="61"/>
      <c r="W438" s="1"/>
    </row>
    <row r="439" spans="14:23">
      <c r="N439" s="1"/>
      <c r="O439" s="27"/>
      <c r="Q439" s="61"/>
      <c r="W439" s="1"/>
    </row>
    <row r="440" spans="14:23">
      <c r="N440" s="1"/>
      <c r="O440" s="27"/>
      <c r="Q440" s="61"/>
      <c r="W440" s="1"/>
    </row>
    <row r="441" spans="14:23">
      <c r="N441" s="1"/>
      <c r="O441" s="27"/>
      <c r="Q441" s="61"/>
      <c r="W441" s="1"/>
    </row>
    <row r="442" spans="14:23">
      <c r="N442" s="1"/>
      <c r="O442" s="27"/>
      <c r="Q442" s="61"/>
      <c r="W442" s="1"/>
    </row>
    <row r="443" spans="14:23">
      <c r="N443" s="1"/>
      <c r="O443" s="27"/>
      <c r="Q443" s="61"/>
      <c r="W443" s="1"/>
    </row>
    <row r="444" spans="14:23">
      <c r="N444" s="1"/>
      <c r="O444" s="27"/>
      <c r="Q444" s="61"/>
      <c r="W444" s="1"/>
    </row>
    <row r="445" spans="14:23">
      <c r="N445" s="1"/>
      <c r="O445" s="27"/>
      <c r="Q445" s="61"/>
      <c r="W445" s="1"/>
    </row>
    <row r="446" spans="14:23">
      <c r="N446" s="1"/>
      <c r="O446" s="27"/>
      <c r="Q446" s="61"/>
      <c r="W446" s="1"/>
    </row>
    <row r="447" spans="14:23">
      <c r="N447" s="1"/>
      <c r="O447" s="27"/>
      <c r="Q447" s="61"/>
      <c r="W447" s="1"/>
    </row>
    <row r="448" spans="14:23">
      <c r="N448" s="1"/>
      <c r="O448" s="27"/>
      <c r="Q448" s="61"/>
      <c r="W448" s="1"/>
    </row>
    <row r="449" spans="14:23">
      <c r="N449" s="1"/>
      <c r="O449" s="27"/>
      <c r="Q449" s="61"/>
      <c r="W449" s="1"/>
    </row>
    <row r="450" spans="14:23">
      <c r="N450" s="1"/>
      <c r="O450" s="27"/>
      <c r="Q450" s="61"/>
      <c r="W450" s="1"/>
    </row>
    <row r="451" spans="14:23">
      <c r="N451" s="1"/>
      <c r="O451" s="27"/>
      <c r="Q451" s="61"/>
      <c r="W451" s="1"/>
    </row>
    <row r="452" spans="14:23">
      <c r="N452" s="1"/>
      <c r="O452" s="27"/>
      <c r="Q452" s="61"/>
      <c r="W452" s="1"/>
    </row>
    <row r="453" spans="14:23">
      <c r="N453" s="1"/>
      <c r="O453" s="27"/>
      <c r="Q453" s="61"/>
      <c r="W453" s="1"/>
    </row>
    <row r="454" spans="14:23">
      <c r="N454" s="1"/>
      <c r="O454" s="27"/>
      <c r="Q454" s="61"/>
      <c r="W454" s="1"/>
    </row>
    <row r="455" spans="14:23">
      <c r="N455" s="1"/>
      <c r="O455" s="27"/>
      <c r="Q455" s="61"/>
      <c r="W455" s="1"/>
    </row>
    <row r="456" spans="14:23">
      <c r="N456" s="1"/>
      <c r="O456" s="27"/>
      <c r="Q456" s="61"/>
      <c r="W456" s="1"/>
    </row>
    <row r="457" spans="14:23">
      <c r="N457" s="1"/>
      <c r="O457" s="27"/>
      <c r="Q457" s="61"/>
      <c r="W457" s="1"/>
    </row>
    <row r="458" spans="14:23">
      <c r="N458" s="1"/>
      <c r="O458" s="27"/>
      <c r="Q458" s="61"/>
      <c r="W458" s="1"/>
    </row>
    <row r="459" spans="14:23">
      <c r="N459" s="1"/>
      <c r="O459" s="27"/>
      <c r="Q459" s="61"/>
      <c r="W459" s="1"/>
    </row>
    <row r="460" spans="14:23">
      <c r="N460" s="1"/>
      <c r="O460" s="27"/>
      <c r="Q460" s="61"/>
      <c r="W460" s="1"/>
    </row>
    <row r="461" spans="14:23">
      <c r="N461" s="1"/>
      <c r="O461" s="27"/>
      <c r="Q461" s="61"/>
      <c r="W461" s="1"/>
    </row>
    <row r="462" spans="14:23">
      <c r="N462" s="1"/>
      <c r="O462" s="27"/>
      <c r="Q462" s="61"/>
      <c r="W462" s="1"/>
    </row>
    <row r="463" spans="14:23">
      <c r="N463" s="1"/>
      <c r="O463" s="27"/>
      <c r="Q463" s="61"/>
      <c r="W463" s="1"/>
    </row>
    <row r="464" spans="14:23">
      <c r="N464" s="1"/>
      <c r="O464" s="27"/>
      <c r="Q464" s="61"/>
      <c r="W464" s="1"/>
    </row>
    <row r="465" spans="14:23">
      <c r="N465" s="1"/>
      <c r="O465" s="27"/>
      <c r="Q465" s="61"/>
      <c r="W465" s="1"/>
    </row>
    <row r="466" spans="14:23">
      <c r="N466" s="1"/>
      <c r="O466" s="27"/>
      <c r="Q466" s="61"/>
      <c r="W466" s="1"/>
    </row>
    <row r="467" spans="14:23">
      <c r="N467" s="1"/>
      <c r="O467" s="27"/>
      <c r="Q467" s="61"/>
      <c r="W467" s="1"/>
    </row>
    <row r="468" spans="14:23">
      <c r="N468" s="1"/>
      <c r="O468" s="27"/>
      <c r="Q468" s="61"/>
      <c r="W468" s="1"/>
    </row>
    <row r="469" spans="14:23">
      <c r="N469" s="1"/>
      <c r="O469" s="27"/>
      <c r="Q469" s="61"/>
      <c r="W469" s="1"/>
    </row>
    <row r="470" spans="14:23">
      <c r="N470" s="1"/>
      <c r="O470" s="27"/>
      <c r="Q470" s="61"/>
      <c r="W470" s="1"/>
    </row>
    <row r="471" spans="14:23">
      <c r="N471" s="1"/>
      <c r="O471" s="27"/>
      <c r="Q471" s="61"/>
      <c r="W471" s="1"/>
    </row>
    <row r="472" spans="14:23">
      <c r="N472" s="1"/>
      <c r="O472" s="27"/>
      <c r="Q472" s="61"/>
      <c r="W472" s="1"/>
    </row>
    <row r="473" spans="14:23">
      <c r="N473" s="1"/>
      <c r="O473" s="27"/>
      <c r="Q473" s="61"/>
      <c r="W473" s="1"/>
    </row>
    <row r="474" spans="14:23">
      <c r="N474" s="1"/>
      <c r="O474" s="27"/>
      <c r="Q474" s="61"/>
      <c r="W474" s="1"/>
    </row>
    <row r="475" spans="14:23">
      <c r="N475" s="1"/>
      <c r="O475" s="27"/>
      <c r="Q475" s="61"/>
      <c r="W475" s="1"/>
    </row>
    <row r="476" spans="14:23">
      <c r="N476" s="1"/>
      <c r="O476" s="27"/>
      <c r="Q476" s="61"/>
      <c r="W476" s="1"/>
    </row>
    <row r="477" spans="14:23">
      <c r="N477" s="1"/>
      <c r="O477" s="27"/>
      <c r="Q477" s="61"/>
      <c r="W477" s="1"/>
    </row>
    <row r="478" spans="14:23">
      <c r="N478" s="1"/>
      <c r="O478" s="27"/>
      <c r="Q478" s="61"/>
      <c r="W478" s="1"/>
    </row>
    <row r="479" spans="14:23">
      <c r="N479" s="1"/>
      <c r="O479" s="27"/>
      <c r="Q479" s="61"/>
      <c r="W479" s="1"/>
    </row>
    <row r="480" spans="14:23">
      <c r="N480" s="1"/>
      <c r="O480" s="27"/>
      <c r="Q480" s="61"/>
      <c r="W480" s="1"/>
    </row>
    <row r="481" spans="14:23">
      <c r="N481" s="1"/>
      <c r="O481" s="27"/>
      <c r="Q481" s="61"/>
      <c r="W481" s="1"/>
    </row>
    <row r="482" spans="14:23">
      <c r="N482" s="1"/>
      <c r="O482" s="27"/>
      <c r="Q482" s="61"/>
      <c r="W482" s="1"/>
    </row>
    <row r="483" spans="14:23">
      <c r="N483" s="1"/>
      <c r="O483" s="27"/>
      <c r="Q483" s="61"/>
      <c r="W483" s="1"/>
    </row>
    <row r="484" spans="14:23">
      <c r="N484" s="1"/>
      <c r="O484" s="27"/>
      <c r="Q484" s="61"/>
      <c r="W484" s="1"/>
    </row>
    <row r="485" spans="14:23">
      <c r="N485" s="1"/>
      <c r="O485" s="27"/>
      <c r="Q485" s="61"/>
      <c r="W485" s="1"/>
    </row>
    <row r="486" spans="14:23">
      <c r="N486" s="1"/>
      <c r="O486" s="27"/>
      <c r="Q486" s="61"/>
      <c r="W486" s="1"/>
    </row>
    <row r="487" spans="14:23">
      <c r="N487" s="1"/>
      <c r="O487" s="27"/>
      <c r="Q487" s="61"/>
      <c r="W487" s="1"/>
    </row>
    <row r="488" spans="14:23">
      <c r="N488" s="1"/>
      <c r="O488" s="27"/>
      <c r="Q488" s="61"/>
      <c r="W488" s="1"/>
    </row>
    <row r="489" spans="14:23">
      <c r="N489" s="1"/>
      <c r="O489" s="27"/>
      <c r="Q489" s="61"/>
      <c r="W489" s="1"/>
    </row>
    <row r="490" spans="14:23">
      <c r="N490" s="1"/>
      <c r="O490" s="27"/>
      <c r="Q490" s="61"/>
      <c r="W490" s="1"/>
    </row>
    <row r="491" spans="14:23">
      <c r="N491" s="1"/>
      <c r="O491" s="27"/>
      <c r="Q491" s="61"/>
      <c r="W491" s="1"/>
    </row>
    <row r="492" spans="14:23">
      <c r="N492" s="1"/>
      <c r="O492" s="27"/>
      <c r="Q492" s="61"/>
      <c r="W492" s="1"/>
    </row>
    <row r="493" spans="14:23">
      <c r="N493" s="1"/>
      <c r="O493" s="27"/>
      <c r="Q493" s="61"/>
      <c r="W493" s="1"/>
    </row>
    <row r="494" spans="14:23">
      <c r="N494" s="1"/>
      <c r="O494" s="27"/>
      <c r="Q494" s="61"/>
      <c r="W494" s="1"/>
    </row>
    <row r="495" spans="14:23">
      <c r="N495" s="1"/>
      <c r="O495" s="27"/>
      <c r="Q495" s="61"/>
      <c r="W495" s="1"/>
    </row>
    <row r="496" spans="14:23">
      <c r="N496" s="1"/>
      <c r="O496" s="27"/>
      <c r="Q496" s="61"/>
      <c r="W496" s="1"/>
    </row>
    <row r="497" spans="14:23">
      <c r="N497" s="1"/>
      <c r="O497" s="27"/>
      <c r="Q497" s="61"/>
      <c r="W497" s="1"/>
    </row>
    <row r="498" spans="14:23">
      <c r="N498" s="1"/>
      <c r="O498" s="27"/>
      <c r="Q498" s="61"/>
      <c r="W498" s="1"/>
    </row>
    <row r="499" spans="14:23">
      <c r="N499" s="1"/>
      <c r="O499" s="27"/>
      <c r="Q499" s="61"/>
      <c r="W499" s="1"/>
    </row>
    <row r="500" spans="14:23">
      <c r="N500" s="1"/>
      <c r="O500" s="27"/>
      <c r="Q500" s="61"/>
      <c r="W500" s="1"/>
    </row>
    <row r="501" spans="14:23">
      <c r="N501" s="1"/>
      <c r="O501" s="27"/>
      <c r="Q501" s="61"/>
      <c r="W501" s="1"/>
    </row>
    <row r="502" spans="14:23">
      <c r="N502" s="1"/>
      <c r="O502" s="27"/>
      <c r="Q502" s="61"/>
      <c r="W502" s="1"/>
    </row>
    <row r="503" spans="14:23">
      <c r="N503" s="1"/>
      <c r="O503" s="27"/>
      <c r="Q503" s="61"/>
      <c r="W503" s="1"/>
    </row>
    <row r="504" spans="14:23">
      <c r="N504" s="1"/>
      <c r="O504" s="27"/>
      <c r="Q504" s="61"/>
      <c r="W504" s="1"/>
    </row>
    <row r="505" spans="14:23">
      <c r="N505" s="1"/>
      <c r="O505" s="27"/>
      <c r="Q505" s="61"/>
      <c r="W505" s="1"/>
    </row>
    <row r="506" spans="14:23">
      <c r="N506" s="1"/>
      <c r="O506" s="27"/>
      <c r="Q506" s="61"/>
      <c r="W506" s="1"/>
    </row>
    <row r="507" spans="14:23">
      <c r="N507" s="1"/>
      <c r="O507" s="27"/>
      <c r="Q507" s="61"/>
      <c r="W507" s="1"/>
    </row>
    <row r="508" spans="14:23">
      <c r="N508" s="1"/>
      <c r="O508" s="27"/>
      <c r="Q508" s="61"/>
      <c r="W508" s="1"/>
    </row>
    <row r="509" spans="14:23">
      <c r="N509" s="1"/>
      <c r="O509" s="27"/>
      <c r="Q509" s="61"/>
      <c r="W509" s="1"/>
    </row>
    <row r="510" spans="14:23">
      <c r="N510" s="1"/>
      <c r="O510" s="27"/>
      <c r="Q510" s="61"/>
      <c r="W510" s="1"/>
    </row>
    <row r="511" spans="14:23">
      <c r="N511" s="1"/>
      <c r="O511" s="27"/>
      <c r="Q511" s="61"/>
      <c r="W511" s="1"/>
    </row>
    <row r="512" spans="14:23">
      <c r="N512" s="1"/>
      <c r="O512" s="27"/>
      <c r="Q512" s="61"/>
      <c r="W512" s="1"/>
    </row>
    <row r="513" spans="14:23">
      <c r="N513" s="1"/>
      <c r="O513" s="27"/>
      <c r="Q513" s="61"/>
      <c r="W513" s="1"/>
    </row>
    <row r="514" spans="14:23">
      <c r="N514" s="1"/>
      <c r="O514" s="27"/>
      <c r="Q514" s="61"/>
      <c r="W514" s="1"/>
    </row>
    <row r="515" spans="14:23">
      <c r="N515" s="1"/>
      <c r="O515" s="27"/>
      <c r="Q515" s="61"/>
      <c r="W515" s="1"/>
    </row>
    <row r="516" spans="14:23">
      <c r="N516" s="1"/>
      <c r="O516" s="27"/>
      <c r="Q516" s="61"/>
      <c r="W516" s="1"/>
    </row>
    <row r="517" spans="14:23">
      <c r="N517" s="1"/>
      <c r="O517" s="27"/>
      <c r="Q517" s="61"/>
      <c r="W517" s="1"/>
    </row>
    <row r="518" spans="14:23">
      <c r="N518" s="1"/>
      <c r="O518" s="27"/>
      <c r="Q518" s="61"/>
      <c r="W518" s="1"/>
    </row>
    <row r="519" spans="14:23">
      <c r="N519" s="1"/>
      <c r="O519" s="27"/>
      <c r="Q519" s="61"/>
      <c r="W519" s="1"/>
    </row>
    <row r="520" spans="14:23">
      <c r="N520" s="1"/>
      <c r="O520" s="27"/>
      <c r="Q520" s="61"/>
      <c r="W520" s="1"/>
    </row>
    <row r="521" spans="14:23">
      <c r="N521" s="1"/>
      <c r="O521" s="27"/>
      <c r="Q521" s="61"/>
      <c r="W521" s="1"/>
    </row>
    <row r="522" spans="14:23">
      <c r="N522" s="1"/>
      <c r="O522" s="27"/>
      <c r="Q522" s="61"/>
      <c r="W522" s="1"/>
    </row>
    <row r="523" spans="14:23">
      <c r="N523" s="1"/>
      <c r="O523" s="27"/>
      <c r="Q523" s="61"/>
      <c r="W523" s="1"/>
    </row>
    <row r="524" spans="14:23">
      <c r="N524" s="1"/>
      <c r="O524" s="27"/>
      <c r="Q524" s="61"/>
      <c r="W524" s="1"/>
    </row>
    <row r="525" spans="14:23">
      <c r="N525" s="1"/>
      <c r="O525" s="27"/>
      <c r="Q525" s="61"/>
      <c r="W525" s="1"/>
    </row>
    <row r="526" spans="14:23">
      <c r="N526" s="1"/>
      <c r="O526" s="27"/>
      <c r="Q526" s="61"/>
      <c r="W526" s="1"/>
    </row>
    <row r="527" spans="14:23">
      <c r="N527" s="1"/>
      <c r="O527" s="27"/>
      <c r="Q527" s="61"/>
      <c r="W527" s="1"/>
    </row>
    <row r="528" spans="14:23">
      <c r="N528" s="1"/>
      <c r="O528" s="27"/>
      <c r="Q528" s="61"/>
      <c r="W528" s="1"/>
    </row>
    <row r="529" spans="14:23">
      <c r="N529" s="1"/>
      <c r="O529" s="27"/>
      <c r="Q529" s="61"/>
      <c r="W529" s="1"/>
    </row>
    <row r="530" spans="14:23">
      <c r="N530" s="1"/>
      <c r="O530" s="27"/>
      <c r="Q530" s="61"/>
      <c r="W530" s="1"/>
    </row>
    <row r="531" spans="14:23">
      <c r="N531" s="1"/>
      <c r="O531" s="27"/>
      <c r="Q531" s="61"/>
      <c r="W531" s="1"/>
    </row>
    <row r="532" spans="14:23">
      <c r="N532" s="1"/>
      <c r="O532" s="27"/>
      <c r="Q532" s="61"/>
      <c r="W532" s="1"/>
    </row>
    <row r="533" spans="14:23">
      <c r="N533" s="1"/>
      <c r="O533" s="27"/>
      <c r="Q533" s="61"/>
      <c r="W533" s="1"/>
    </row>
    <row r="534" spans="14:23">
      <c r="N534" s="1"/>
      <c r="O534" s="27"/>
      <c r="Q534" s="61"/>
      <c r="W534" s="1"/>
    </row>
    <row r="535" spans="14:23">
      <c r="N535" s="1"/>
      <c r="O535" s="27"/>
      <c r="Q535" s="61"/>
      <c r="W535" s="1"/>
    </row>
    <row r="536" spans="14:23">
      <c r="N536" s="1"/>
      <c r="O536" s="27"/>
      <c r="Q536" s="61"/>
      <c r="W536" s="1"/>
    </row>
    <row r="537" spans="14:23">
      <c r="N537" s="1"/>
      <c r="O537" s="27"/>
      <c r="Q537" s="61"/>
      <c r="W537" s="1"/>
    </row>
    <row r="538" spans="14:23">
      <c r="N538" s="1"/>
      <c r="O538" s="27"/>
      <c r="Q538" s="61"/>
      <c r="W538" s="1"/>
    </row>
    <row r="539" spans="14:23">
      <c r="N539" s="1"/>
      <c r="O539" s="27"/>
      <c r="Q539" s="61"/>
      <c r="W539" s="1"/>
    </row>
    <row r="540" spans="14:23">
      <c r="N540" s="1"/>
      <c r="O540" s="27"/>
      <c r="Q540" s="61"/>
      <c r="W540" s="1"/>
    </row>
    <row r="541" spans="14:23">
      <c r="N541" s="1"/>
      <c r="O541" s="27"/>
      <c r="Q541" s="61"/>
      <c r="W541" s="1"/>
    </row>
    <row r="542" spans="14:23">
      <c r="N542" s="1"/>
      <c r="O542" s="27"/>
      <c r="Q542" s="61"/>
      <c r="W542" s="1"/>
    </row>
    <row r="543" spans="14:23">
      <c r="N543" s="1"/>
      <c r="O543" s="27"/>
      <c r="Q543" s="61"/>
      <c r="W543" s="1"/>
    </row>
    <row r="544" spans="14:23">
      <c r="N544" s="1"/>
      <c r="O544" s="27"/>
      <c r="Q544" s="61"/>
      <c r="W544" s="1"/>
    </row>
    <row r="545" spans="14:23">
      <c r="N545" s="1"/>
      <c r="O545" s="27"/>
      <c r="Q545" s="61"/>
      <c r="W545" s="1"/>
    </row>
    <row r="546" spans="14:23">
      <c r="N546" s="1"/>
      <c r="O546" s="27"/>
      <c r="Q546" s="61"/>
      <c r="W546" s="1"/>
    </row>
    <row r="547" spans="14:23">
      <c r="N547" s="1"/>
      <c r="O547" s="27"/>
      <c r="Q547" s="61"/>
      <c r="W547" s="1"/>
    </row>
    <row r="548" spans="14:23">
      <c r="N548" s="1"/>
      <c r="O548" s="27"/>
      <c r="Q548" s="61"/>
      <c r="W548" s="1"/>
    </row>
    <row r="549" spans="14:23">
      <c r="N549" s="1"/>
      <c r="O549" s="27"/>
      <c r="Q549" s="61"/>
      <c r="W549" s="1"/>
    </row>
    <row r="550" spans="14:23">
      <c r="N550" s="1"/>
      <c r="O550" s="27"/>
      <c r="Q550" s="61"/>
      <c r="W550" s="1"/>
    </row>
    <row r="551" spans="14:23">
      <c r="N551" s="1"/>
      <c r="O551" s="27"/>
      <c r="Q551" s="61"/>
      <c r="W551" s="1"/>
    </row>
    <row r="552" spans="14:23">
      <c r="N552" s="1"/>
      <c r="O552" s="27"/>
      <c r="Q552" s="61"/>
      <c r="W552" s="1"/>
    </row>
    <row r="553" spans="14:23">
      <c r="N553" s="1"/>
      <c r="O553" s="27"/>
      <c r="Q553" s="61"/>
      <c r="W553" s="1"/>
    </row>
    <row r="554" spans="14:23">
      <c r="N554" s="1"/>
      <c r="O554" s="27"/>
      <c r="Q554" s="61"/>
      <c r="W554" s="1"/>
    </row>
    <row r="555" spans="14:23">
      <c r="N555" s="1"/>
      <c r="O555" s="27"/>
      <c r="Q555" s="61"/>
      <c r="W555" s="1"/>
    </row>
    <row r="556" spans="14:23">
      <c r="N556" s="1"/>
      <c r="O556" s="27"/>
      <c r="Q556" s="61"/>
      <c r="W556" s="1"/>
    </row>
    <row r="557" spans="14:23">
      <c r="N557" s="1"/>
      <c r="O557" s="27"/>
      <c r="Q557" s="61"/>
      <c r="W557" s="1"/>
    </row>
    <row r="558" spans="14:23">
      <c r="N558" s="1"/>
      <c r="O558" s="27"/>
      <c r="Q558" s="61"/>
      <c r="W558" s="1"/>
    </row>
    <row r="559" spans="14:23">
      <c r="N559" s="1"/>
      <c r="O559" s="27"/>
      <c r="Q559" s="61"/>
      <c r="W559" s="1"/>
    </row>
    <row r="560" spans="14:23">
      <c r="N560" s="1"/>
      <c r="O560" s="27"/>
      <c r="Q560" s="61"/>
      <c r="W560" s="1"/>
    </row>
    <row r="561" spans="14:23">
      <c r="N561" s="1"/>
      <c r="O561" s="27"/>
      <c r="Q561" s="61"/>
      <c r="W561" s="1"/>
    </row>
    <row r="562" spans="14:23">
      <c r="N562" s="1"/>
      <c r="O562" s="27"/>
      <c r="Q562" s="61"/>
      <c r="W562" s="1"/>
    </row>
    <row r="563" spans="14:23">
      <c r="N563" s="1"/>
      <c r="O563" s="27"/>
      <c r="Q563" s="61"/>
      <c r="W563" s="1"/>
    </row>
    <row r="564" spans="14:23">
      <c r="N564" s="1"/>
      <c r="O564" s="27"/>
      <c r="Q564" s="61"/>
      <c r="W564" s="1"/>
    </row>
    <row r="565" spans="14:23">
      <c r="N565" s="1"/>
      <c r="O565" s="27"/>
      <c r="Q565" s="61"/>
      <c r="W565" s="1"/>
    </row>
    <row r="566" spans="14:23">
      <c r="N566" s="1"/>
      <c r="O566" s="27"/>
      <c r="Q566" s="61"/>
      <c r="W566" s="1"/>
    </row>
    <row r="567" spans="14:23">
      <c r="N567" s="1"/>
      <c r="O567" s="27"/>
      <c r="Q567" s="61"/>
      <c r="W567" s="1"/>
    </row>
    <row r="568" spans="14:23">
      <c r="N568" s="1"/>
      <c r="O568" s="27"/>
      <c r="Q568" s="61"/>
      <c r="W568" s="1"/>
    </row>
    <row r="569" spans="14:23">
      <c r="N569" s="1"/>
      <c r="O569" s="27"/>
      <c r="Q569" s="61"/>
      <c r="W569" s="1"/>
    </row>
    <row r="570" spans="14:23">
      <c r="N570" s="1"/>
      <c r="O570" s="27"/>
      <c r="Q570" s="61"/>
      <c r="W570" s="1"/>
    </row>
    <row r="571" spans="14:23">
      <c r="N571" s="1"/>
      <c r="O571" s="27"/>
      <c r="Q571" s="61"/>
      <c r="W571" s="1"/>
    </row>
    <row r="572" spans="14:23">
      <c r="N572" s="1"/>
      <c r="O572" s="27"/>
      <c r="Q572" s="61"/>
      <c r="W572" s="1"/>
    </row>
    <row r="573" spans="14:23">
      <c r="N573" s="1"/>
      <c r="O573" s="27"/>
      <c r="Q573" s="61"/>
      <c r="W573" s="1"/>
    </row>
    <row r="574" spans="14:23">
      <c r="N574" s="1"/>
      <c r="O574" s="27"/>
      <c r="Q574" s="61"/>
      <c r="W574" s="1"/>
    </row>
    <row r="575" spans="14:23">
      <c r="N575" s="1"/>
      <c r="O575" s="27"/>
      <c r="Q575" s="61"/>
      <c r="W575" s="1"/>
    </row>
    <row r="576" spans="14:23">
      <c r="N576" s="1"/>
      <c r="O576" s="27"/>
      <c r="Q576" s="61"/>
      <c r="W576" s="1"/>
    </row>
    <row r="577" spans="14:23">
      <c r="N577" s="1"/>
      <c r="O577" s="27"/>
      <c r="Q577" s="61"/>
      <c r="W577" s="1"/>
    </row>
    <row r="578" spans="14:23">
      <c r="N578" s="1"/>
      <c r="O578" s="27"/>
      <c r="Q578" s="61"/>
      <c r="W578" s="1"/>
    </row>
    <row r="579" spans="14:23">
      <c r="N579" s="1"/>
      <c r="O579" s="27"/>
      <c r="Q579" s="61"/>
      <c r="W579" s="1"/>
    </row>
    <row r="580" spans="14:23">
      <c r="N580" s="1"/>
      <c r="O580" s="27"/>
      <c r="Q580" s="61"/>
      <c r="W580" s="1"/>
    </row>
    <row r="581" spans="14:23">
      <c r="N581" s="1"/>
      <c r="O581" s="27"/>
      <c r="Q581" s="61"/>
      <c r="W581" s="1"/>
    </row>
    <row r="582" spans="14:23">
      <c r="N582" s="1"/>
      <c r="O582" s="27"/>
      <c r="Q582" s="61"/>
      <c r="W582" s="1"/>
    </row>
    <row r="583" spans="14:23">
      <c r="N583" s="1"/>
      <c r="O583" s="27"/>
      <c r="Q583" s="61"/>
      <c r="W583" s="1"/>
    </row>
    <row r="584" spans="14:23">
      <c r="N584" s="1"/>
      <c r="O584" s="27"/>
      <c r="Q584" s="61"/>
      <c r="W584" s="1"/>
    </row>
    <row r="585" spans="14:23">
      <c r="N585" s="1"/>
      <c r="O585" s="27"/>
      <c r="Q585" s="61"/>
      <c r="W585" s="1"/>
    </row>
    <row r="586" spans="14:23">
      <c r="N586" s="1"/>
      <c r="O586" s="27"/>
      <c r="Q586" s="61"/>
      <c r="W586" s="1"/>
    </row>
    <row r="587" spans="14:23">
      <c r="N587" s="1"/>
      <c r="O587" s="27"/>
      <c r="Q587" s="61"/>
      <c r="W587" s="1"/>
    </row>
    <row r="588" spans="14:23">
      <c r="N588" s="1"/>
      <c r="O588" s="27"/>
      <c r="Q588" s="61"/>
      <c r="W588" s="1"/>
    </row>
    <row r="589" spans="14:23">
      <c r="N589" s="1"/>
      <c r="O589" s="27"/>
      <c r="Q589" s="61"/>
      <c r="W589" s="1"/>
    </row>
    <row r="590" spans="14:23">
      <c r="N590" s="1"/>
      <c r="O590" s="27"/>
      <c r="Q590" s="61"/>
      <c r="W590" s="1"/>
    </row>
    <row r="591" spans="14:23">
      <c r="N591" s="1"/>
      <c r="O591" s="27"/>
      <c r="Q591" s="61"/>
      <c r="W591" s="1"/>
    </row>
    <row r="592" spans="14:23">
      <c r="N592" s="1"/>
      <c r="O592" s="27"/>
      <c r="Q592" s="61"/>
      <c r="W592" s="1"/>
    </row>
    <row r="593" spans="14:23">
      <c r="N593" s="1"/>
      <c r="O593" s="27"/>
      <c r="Q593" s="61"/>
      <c r="W593" s="1"/>
    </row>
    <row r="594" spans="14:23">
      <c r="N594" s="1"/>
      <c r="O594" s="27"/>
      <c r="Q594" s="61"/>
      <c r="W594" s="1"/>
    </row>
    <row r="595" spans="14:23">
      <c r="N595" s="1"/>
      <c r="O595" s="27"/>
      <c r="Q595" s="61"/>
      <c r="W595" s="1"/>
    </row>
    <row r="596" spans="14:23">
      <c r="N596" s="1"/>
      <c r="O596" s="27"/>
      <c r="Q596" s="61"/>
      <c r="W596" s="1"/>
    </row>
    <row r="597" spans="14:23">
      <c r="N597" s="1"/>
      <c r="O597" s="27"/>
      <c r="Q597" s="61"/>
      <c r="W597" s="1"/>
    </row>
    <row r="598" spans="14:23">
      <c r="N598" s="1"/>
      <c r="O598" s="27"/>
      <c r="Q598" s="61"/>
      <c r="W598" s="1"/>
    </row>
    <row r="599" spans="14:23">
      <c r="N599" s="1"/>
      <c r="O599" s="27"/>
      <c r="Q599" s="61"/>
      <c r="W599" s="1"/>
    </row>
    <row r="600" spans="14:23">
      <c r="N600" s="1"/>
      <c r="O600" s="27"/>
      <c r="Q600" s="61"/>
      <c r="W600" s="1"/>
    </row>
    <row r="601" spans="14:23">
      <c r="N601" s="1"/>
      <c r="O601" s="27"/>
      <c r="Q601" s="61"/>
      <c r="W601" s="1"/>
    </row>
    <row r="602" spans="14:23">
      <c r="N602" s="1"/>
      <c r="O602" s="27"/>
      <c r="Q602" s="61"/>
      <c r="W602" s="1"/>
    </row>
    <row r="603" spans="14:23">
      <c r="N603" s="1"/>
      <c r="O603" s="27"/>
      <c r="Q603" s="61"/>
      <c r="W603" s="1"/>
    </row>
    <row r="604" spans="14:23">
      <c r="N604" s="1"/>
      <c r="O604" s="27"/>
      <c r="Q604" s="61"/>
      <c r="W604" s="1"/>
    </row>
    <row r="605" spans="14:23">
      <c r="N605" s="1"/>
      <c r="O605" s="27"/>
      <c r="Q605" s="61"/>
      <c r="W605" s="1"/>
    </row>
    <row r="606" spans="14:23">
      <c r="N606" s="1"/>
      <c r="O606" s="27"/>
      <c r="Q606" s="61"/>
      <c r="W606" s="1"/>
    </row>
    <row r="607" spans="14:23">
      <c r="N607" s="1"/>
      <c r="O607" s="27"/>
      <c r="Q607" s="61"/>
      <c r="W607" s="1"/>
    </row>
    <row r="608" spans="14:23">
      <c r="N608" s="1"/>
      <c r="O608" s="27"/>
      <c r="Q608" s="61"/>
      <c r="W608" s="1"/>
    </row>
    <row r="609" spans="14:23">
      <c r="N609" s="1"/>
      <c r="O609" s="27"/>
      <c r="Q609" s="61"/>
      <c r="W609" s="1"/>
    </row>
    <row r="610" spans="14:23">
      <c r="N610" s="1"/>
      <c r="O610" s="27"/>
      <c r="Q610" s="61"/>
      <c r="W610" s="1"/>
    </row>
    <row r="611" spans="14:23">
      <c r="N611" s="1"/>
      <c r="O611" s="27"/>
      <c r="Q611" s="61"/>
      <c r="W611" s="1"/>
    </row>
    <row r="612" spans="14:23">
      <c r="N612" s="1"/>
      <c r="O612" s="27"/>
      <c r="Q612" s="61"/>
      <c r="W612" s="1"/>
    </row>
    <row r="613" spans="14:23">
      <c r="N613" s="1"/>
      <c r="O613" s="27"/>
      <c r="Q613" s="61"/>
      <c r="W613" s="1"/>
    </row>
    <row r="614" spans="14:23">
      <c r="N614" s="1"/>
      <c r="O614" s="27"/>
      <c r="Q614" s="61"/>
      <c r="W614" s="1"/>
    </row>
    <row r="615" spans="14:23">
      <c r="N615" s="1"/>
      <c r="O615" s="27"/>
      <c r="Q615" s="61"/>
      <c r="W615" s="1"/>
    </row>
    <row r="616" spans="14:23">
      <c r="N616" s="1"/>
      <c r="O616" s="27"/>
      <c r="Q616" s="61"/>
      <c r="W616" s="1"/>
    </row>
    <row r="617" spans="14:23">
      <c r="N617" s="1"/>
      <c r="O617" s="27"/>
      <c r="Q617" s="61"/>
      <c r="W617" s="1"/>
    </row>
    <row r="618" spans="14:23">
      <c r="N618" s="1"/>
      <c r="O618" s="27"/>
      <c r="Q618" s="61"/>
      <c r="W618" s="1"/>
    </row>
    <row r="619" spans="14:23">
      <c r="N619" s="1"/>
      <c r="O619" s="27"/>
      <c r="Q619" s="61"/>
      <c r="W619" s="1"/>
    </row>
    <row r="620" spans="14:23">
      <c r="N620" s="1"/>
      <c r="O620" s="27"/>
      <c r="Q620" s="61"/>
      <c r="W620" s="1"/>
    </row>
    <row r="621" spans="14:23">
      <c r="N621" s="1"/>
      <c r="O621" s="27"/>
      <c r="Q621" s="61"/>
      <c r="W621" s="1"/>
    </row>
    <row r="622" spans="14:23">
      <c r="N622" s="1"/>
      <c r="O622" s="27"/>
      <c r="Q622" s="61"/>
      <c r="W622" s="1"/>
    </row>
    <row r="623" spans="14:23">
      <c r="N623" s="1"/>
      <c r="O623" s="27"/>
      <c r="Q623" s="61"/>
      <c r="W623" s="1"/>
    </row>
    <row r="624" spans="14:23">
      <c r="N624" s="1"/>
      <c r="O624" s="27"/>
      <c r="Q624" s="61"/>
      <c r="W624" s="1"/>
    </row>
    <row r="625" spans="14:23">
      <c r="N625" s="1"/>
      <c r="O625" s="27"/>
      <c r="Q625" s="61"/>
      <c r="W625" s="1"/>
    </row>
    <row r="626" spans="14:23">
      <c r="N626" s="1"/>
      <c r="O626" s="27"/>
      <c r="Q626" s="61"/>
      <c r="W626" s="1"/>
    </row>
    <row r="627" spans="14:23">
      <c r="N627" s="1"/>
      <c r="O627" s="27"/>
      <c r="Q627" s="61"/>
      <c r="W627" s="1"/>
    </row>
    <row r="628" spans="14:23">
      <c r="N628" s="1"/>
      <c r="O628" s="27"/>
      <c r="Q628" s="61"/>
      <c r="W628" s="1"/>
    </row>
    <row r="629" spans="14:23">
      <c r="N629" s="1"/>
      <c r="O629" s="27"/>
      <c r="Q629" s="61"/>
      <c r="W629" s="1"/>
    </row>
    <row r="630" spans="14:23">
      <c r="N630" s="1"/>
      <c r="O630" s="27"/>
      <c r="Q630" s="61"/>
      <c r="W630" s="1"/>
    </row>
    <row r="631" spans="14:23">
      <c r="N631" s="1"/>
      <c r="O631" s="27"/>
      <c r="Q631" s="61"/>
      <c r="W631" s="1"/>
    </row>
    <row r="632" spans="14:23">
      <c r="N632" s="1"/>
      <c r="O632" s="27"/>
      <c r="Q632" s="61"/>
      <c r="W632" s="1"/>
    </row>
    <row r="633" spans="14:23">
      <c r="N633" s="1"/>
      <c r="O633" s="27"/>
      <c r="Q633" s="61"/>
      <c r="W633" s="1"/>
    </row>
    <row r="634" spans="14:23">
      <c r="N634" s="1"/>
      <c r="O634" s="27"/>
      <c r="Q634" s="61"/>
      <c r="W634" s="1"/>
    </row>
    <row r="635" spans="14:23">
      <c r="N635" s="1"/>
      <c r="O635" s="27"/>
      <c r="Q635" s="61"/>
      <c r="W635" s="1"/>
    </row>
    <row r="636" spans="14:23">
      <c r="N636" s="1"/>
      <c r="O636" s="27"/>
      <c r="Q636" s="61"/>
      <c r="W636" s="1"/>
    </row>
    <row r="637" spans="14:23">
      <c r="N637" s="1"/>
      <c r="O637" s="27"/>
      <c r="Q637" s="61"/>
      <c r="W637" s="1"/>
    </row>
    <row r="638" spans="14:23">
      <c r="N638" s="1"/>
      <c r="O638" s="27"/>
      <c r="Q638" s="61"/>
      <c r="W638" s="1"/>
    </row>
    <row r="639" spans="14:23">
      <c r="N639" s="1"/>
      <c r="O639" s="27"/>
      <c r="Q639" s="61"/>
      <c r="W639" s="1"/>
    </row>
    <row r="640" spans="14:23">
      <c r="N640" s="1"/>
      <c r="O640" s="27"/>
      <c r="Q640" s="61"/>
      <c r="W640" s="1"/>
    </row>
    <row r="641" spans="14:23">
      <c r="N641" s="1"/>
      <c r="O641" s="27"/>
      <c r="Q641" s="61"/>
      <c r="W641" s="1"/>
    </row>
    <row r="642" spans="14:23">
      <c r="N642" s="1"/>
      <c r="O642" s="27"/>
      <c r="Q642" s="61"/>
      <c r="W642" s="1"/>
    </row>
    <row r="643" spans="14:23">
      <c r="N643" s="1"/>
      <c r="O643" s="27"/>
      <c r="Q643" s="61"/>
      <c r="W643" s="1"/>
    </row>
    <row r="644" spans="14:23">
      <c r="N644" s="1"/>
      <c r="O644" s="27"/>
      <c r="Q644" s="61"/>
      <c r="W644" s="1"/>
    </row>
    <row r="645" spans="14:23">
      <c r="N645" s="1"/>
      <c r="O645" s="27"/>
      <c r="Q645" s="61"/>
      <c r="W645" s="1"/>
    </row>
    <row r="646" spans="14:23">
      <c r="N646" s="1"/>
      <c r="O646" s="27"/>
      <c r="Q646" s="61"/>
      <c r="W646" s="1"/>
    </row>
    <row r="647" spans="14:23">
      <c r="N647" s="1"/>
      <c r="O647" s="27"/>
      <c r="Q647" s="61"/>
      <c r="W647" s="1"/>
    </row>
    <row r="648" spans="14:23">
      <c r="N648" s="1"/>
      <c r="O648" s="27"/>
      <c r="Q648" s="61"/>
      <c r="W648" s="1"/>
    </row>
    <row r="649" spans="14:23">
      <c r="N649" s="1"/>
      <c r="O649" s="27"/>
      <c r="Q649" s="61"/>
      <c r="W649" s="1"/>
    </row>
    <row r="650" spans="14:23">
      <c r="N650" s="1"/>
      <c r="O650" s="27"/>
      <c r="Q650" s="61"/>
      <c r="W650" s="1"/>
    </row>
    <row r="651" spans="14:23">
      <c r="N651" s="1"/>
      <c r="O651" s="27"/>
      <c r="Q651" s="61"/>
      <c r="W651" s="1"/>
    </row>
    <row r="652" spans="14:23">
      <c r="N652" s="1"/>
      <c r="O652" s="27"/>
      <c r="Q652" s="61"/>
      <c r="W652" s="1"/>
    </row>
    <row r="653" spans="14:23">
      <c r="N653" s="1"/>
      <c r="O653" s="27"/>
      <c r="Q653" s="61"/>
      <c r="W653" s="1"/>
    </row>
    <row r="654" spans="14:23">
      <c r="N654" s="1"/>
      <c r="O654" s="27"/>
      <c r="Q654" s="61"/>
      <c r="W654" s="1"/>
    </row>
    <row r="655" spans="14:23">
      <c r="N655" s="1"/>
      <c r="O655" s="27"/>
      <c r="Q655" s="61"/>
      <c r="W655" s="1"/>
    </row>
    <row r="656" spans="14:23">
      <c r="N656" s="1"/>
      <c r="O656" s="27"/>
      <c r="Q656" s="61"/>
      <c r="W656" s="1"/>
    </row>
    <row r="657" spans="14:23">
      <c r="N657" s="1"/>
      <c r="O657" s="27"/>
      <c r="Q657" s="61"/>
      <c r="W657" s="1"/>
    </row>
    <row r="658" spans="14:23">
      <c r="N658" s="1"/>
      <c r="O658" s="27"/>
      <c r="Q658" s="61"/>
      <c r="W658" s="1"/>
    </row>
    <row r="659" spans="14:23">
      <c r="N659" s="1"/>
      <c r="O659" s="27"/>
      <c r="Q659" s="61"/>
      <c r="W659" s="1"/>
    </row>
    <row r="660" spans="14:23">
      <c r="N660" s="1"/>
      <c r="O660" s="27"/>
      <c r="Q660" s="61"/>
      <c r="W660" s="1"/>
    </row>
    <row r="661" spans="14:23">
      <c r="N661" s="1"/>
      <c r="O661" s="27"/>
      <c r="Q661" s="61"/>
      <c r="W661" s="1"/>
    </row>
    <row r="662" spans="14:23">
      <c r="N662" s="1"/>
      <c r="O662" s="27"/>
      <c r="Q662" s="61"/>
      <c r="W662" s="1"/>
    </row>
    <row r="663" spans="14:23">
      <c r="N663" s="1"/>
      <c r="O663" s="27"/>
      <c r="Q663" s="61"/>
      <c r="W663" s="1"/>
    </row>
    <row r="664" spans="14:23">
      <c r="N664" s="1"/>
      <c r="O664" s="27"/>
      <c r="Q664" s="61"/>
      <c r="W664" s="1"/>
    </row>
    <row r="665" spans="14:23">
      <c r="N665" s="1"/>
      <c r="O665" s="27"/>
      <c r="Q665" s="61"/>
      <c r="W665" s="1"/>
    </row>
    <row r="666" spans="14:23">
      <c r="N666" s="1"/>
      <c r="O666" s="27"/>
      <c r="Q666" s="61"/>
      <c r="W666" s="1"/>
    </row>
    <row r="667" spans="14:23">
      <c r="N667" s="1"/>
      <c r="O667" s="27"/>
      <c r="Q667" s="61"/>
      <c r="W667" s="1"/>
    </row>
    <row r="668" spans="14:23">
      <c r="N668" s="1"/>
      <c r="O668" s="27"/>
      <c r="Q668" s="61"/>
      <c r="W668" s="1"/>
    </row>
    <row r="669" spans="14:23">
      <c r="N669" s="1"/>
      <c r="O669" s="27"/>
      <c r="Q669" s="61"/>
      <c r="W669" s="1"/>
    </row>
    <row r="670" spans="14:23">
      <c r="N670" s="1"/>
      <c r="O670" s="27"/>
      <c r="Q670" s="61"/>
      <c r="W670" s="1"/>
    </row>
    <row r="671" spans="14:23">
      <c r="N671" s="1"/>
      <c r="O671" s="27"/>
      <c r="Q671" s="61"/>
      <c r="W671" s="1"/>
    </row>
    <row r="672" spans="14:23">
      <c r="N672" s="1"/>
      <c r="O672" s="27"/>
      <c r="Q672" s="61"/>
      <c r="W672" s="1"/>
    </row>
    <row r="673" spans="14:23">
      <c r="N673" s="1"/>
      <c r="O673" s="27"/>
      <c r="Q673" s="61"/>
      <c r="W673" s="1"/>
    </row>
    <row r="674" spans="14:23">
      <c r="N674" s="1"/>
      <c r="O674" s="27"/>
      <c r="Q674" s="61"/>
      <c r="W674" s="1"/>
    </row>
    <row r="675" spans="14:23">
      <c r="N675" s="1"/>
      <c r="O675" s="27"/>
      <c r="Q675" s="61"/>
      <c r="W675" s="1"/>
    </row>
    <row r="676" spans="14:23">
      <c r="N676" s="1"/>
      <c r="O676" s="27"/>
      <c r="Q676" s="61"/>
      <c r="W676" s="1"/>
    </row>
    <row r="677" spans="14:23">
      <c r="N677" s="1"/>
      <c r="O677" s="27"/>
      <c r="Q677" s="61"/>
      <c r="W677" s="1"/>
    </row>
    <row r="678" spans="14:23">
      <c r="N678" s="1"/>
      <c r="O678" s="27"/>
      <c r="Q678" s="61"/>
      <c r="W678" s="1"/>
    </row>
    <row r="679" spans="14:23">
      <c r="N679" s="1"/>
      <c r="O679" s="27"/>
      <c r="Q679" s="61"/>
      <c r="W679" s="1"/>
    </row>
    <row r="680" spans="14:23">
      <c r="N680" s="1"/>
      <c r="O680" s="27"/>
      <c r="Q680" s="61"/>
      <c r="W680" s="1"/>
    </row>
    <row r="681" spans="14:23">
      <c r="N681" s="1"/>
      <c r="O681" s="27"/>
      <c r="Q681" s="61"/>
      <c r="W681" s="1"/>
    </row>
    <row r="682" spans="14:23">
      <c r="N682" s="1"/>
      <c r="O682" s="27"/>
      <c r="Q682" s="61"/>
      <c r="W682" s="1"/>
    </row>
    <row r="683" spans="14:23">
      <c r="N683" s="1"/>
      <c r="O683" s="27"/>
      <c r="Q683" s="61"/>
      <c r="W683" s="1"/>
    </row>
    <row r="684" spans="14:23">
      <c r="N684" s="1"/>
      <c r="O684" s="27"/>
      <c r="Q684" s="61"/>
      <c r="W684" s="1"/>
    </row>
    <row r="685" spans="14:23">
      <c r="N685" s="1"/>
      <c r="O685" s="27"/>
      <c r="Q685" s="61"/>
      <c r="W685" s="1"/>
    </row>
    <row r="686" spans="14:23">
      <c r="N686" s="1"/>
      <c r="O686" s="27"/>
      <c r="Q686" s="61"/>
      <c r="W686" s="1"/>
    </row>
    <row r="687" spans="14:23">
      <c r="N687" s="1"/>
      <c r="O687" s="27"/>
      <c r="Q687" s="61"/>
      <c r="W687" s="1"/>
    </row>
    <row r="688" spans="14:23">
      <c r="N688" s="1"/>
      <c r="O688" s="27"/>
      <c r="Q688" s="61"/>
      <c r="W688" s="1"/>
    </row>
    <row r="689" spans="14:23">
      <c r="N689" s="1"/>
      <c r="O689" s="27"/>
      <c r="Q689" s="61"/>
      <c r="W689" s="1"/>
    </row>
    <row r="690" spans="14:23">
      <c r="N690" s="1"/>
      <c r="O690" s="27"/>
      <c r="Q690" s="61"/>
      <c r="W690" s="1"/>
    </row>
    <row r="691" spans="14:23">
      <c r="N691" s="1"/>
      <c r="O691" s="27"/>
      <c r="Q691" s="61"/>
      <c r="W691" s="1"/>
    </row>
    <row r="692" spans="14:23">
      <c r="N692" s="1"/>
      <c r="O692" s="27"/>
      <c r="Q692" s="61"/>
      <c r="W692" s="1"/>
    </row>
    <row r="693" spans="14:23">
      <c r="N693" s="1"/>
      <c r="O693" s="27"/>
      <c r="Q693" s="61"/>
      <c r="W693" s="1"/>
    </row>
    <row r="694" spans="14:23">
      <c r="N694" s="1"/>
      <c r="O694" s="27"/>
      <c r="Q694" s="61"/>
      <c r="W694" s="1"/>
    </row>
    <row r="695" spans="14:23">
      <c r="N695" s="1"/>
      <c r="O695" s="27"/>
      <c r="Q695" s="61"/>
      <c r="W695" s="1"/>
    </row>
    <row r="696" spans="14:23">
      <c r="N696" s="1"/>
      <c r="O696" s="27"/>
      <c r="Q696" s="61"/>
      <c r="W696" s="1"/>
    </row>
    <row r="697" spans="14:23">
      <c r="N697" s="1"/>
      <c r="O697" s="27"/>
      <c r="Q697" s="61"/>
      <c r="W697" s="1"/>
    </row>
    <row r="698" spans="14:23">
      <c r="N698" s="1"/>
      <c r="O698" s="27"/>
      <c r="Q698" s="61"/>
      <c r="W698" s="1"/>
    </row>
    <row r="699" spans="14:23">
      <c r="N699" s="1"/>
      <c r="O699" s="27"/>
      <c r="Q699" s="61"/>
      <c r="W699" s="1"/>
    </row>
    <row r="700" spans="14:23">
      <c r="N700" s="1"/>
      <c r="O700" s="27"/>
      <c r="Q700" s="61"/>
      <c r="W700" s="1"/>
    </row>
    <row r="701" spans="14:23">
      <c r="N701" s="1"/>
      <c r="O701" s="27"/>
      <c r="Q701" s="61"/>
      <c r="W701" s="1"/>
    </row>
    <row r="702" spans="14:23">
      <c r="N702" s="1"/>
      <c r="O702" s="27"/>
      <c r="Q702" s="61"/>
      <c r="W702" s="1"/>
    </row>
    <row r="703" spans="14:23">
      <c r="N703" s="1"/>
      <c r="O703" s="27"/>
      <c r="Q703" s="61"/>
      <c r="W703" s="1"/>
    </row>
    <row r="704" spans="14:23">
      <c r="N704" s="1"/>
      <c r="O704" s="27"/>
      <c r="Q704" s="61"/>
      <c r="W704" s="1"/>
    </row>
    <row r="705" spans="14:23">
      <c r="N705" s="1"/>
      <c r="O705" s="27"/>
      <c r="Q705" s="61"/>
      <c r="W705" s="1"/>
    </row>
    <row r="706" spans="14:23">
      <c r="N706" s="1"/>
      <c r="O706" s="27"/>
      <c r="Q706" s="61"/>
      <c r="W706" s="1"/>
    </row>
    <row r="707" spans="14:23">
      <c r="N707" s="1"/>
      <c r="O707" s="27"/>
      <c r="Q707" s="61"/>
      <c r="W707" s="1"/>
    </row>
    <row r="708" spans="14:23">
      <c r="N708" s="1"/>
      <c r="O708" s="27"/>
      <c r="Q708" s="61"/>
      <c r="W708" s="1"/>
    </row>
    <row r="709" spans="14:23">
      <c r="N709" s="1"/>
      <c r="O709" s="27"/>
      <c r="Q709" s="61"/>
      <c r="W709" s="1"/>
    </row>
    <row r="710" spans="14:23">
      <c r="N710" s="1"/>
      <c r="O710" s="27"/>
      <c r="Q710" s="61"/>
      <c r="W710" s="1"/>
    </row>
    <row r="711" spans="14:23">
      <c r="N711" s="1"/>
      <c r="O711" s="27"/>
      <c r="Q711" s="61"/>
      <c r="W711" s="1"/>
    </row>
    <row r="712" spans="14:23">
      <c r="N712" s="1"/>
      <c r="O712" s="27"/>
      <c r="Q712" s="61"/>
      <c r="W712" s="1"/>
    </row>
    <row r="713" spans="14:23">
      <c r="N713" s="1"/>
      <c r="O713" s="27"/>
      <c r="Q713" s="61"/>
      <c r="W713" s="1"/>
    </row>
    <row r="714" spans="14:23">
      <c r="N714" s="1"/>
      <c r="O714" s="27"/>
      <c r="Q714" s="61"/>
      <c r="W714" s="1"/>
    </row>
    <row r="715" spans="14:23">
      <c r="N715" s="1"/>
      <c r="O715" s="27"/>
      <c r="Q715" s="61"/>
      <c r="W715" s="1"/>
    </row>
    <row r="716" spans="14:23">
      <c r="N716" s="1"/>
      <c r="O716" s="27"/>
      <c r="Q716" s="61"/>
      <c r="W716" s="1"/>
    </row>
    <row r="717" spans="14:23">
      <c r="N717" s="1"/>
      <c r="O717" s="27"/>
      <c r="Q717" s="61"/>
      <c r="W717" s="1"/>
    </row>
    <row r="718" spans="14:23">
      <c r="N718" s="1"/>
      <c r="O718" s="27"/>
      <c r="Q718" s="61"/>
      <c r="W718" s="1"/>
    </row>
    <row r="719" spans="14:23">
      <c r="N719" s="1"/>
      <c r="O719" s="27"/>
      <c r="Q719" s="61"/>
      <c r="W719" s="1"/>
    </row>
    <row r="720" spans="14:23">
      <c r="N720" s="1"/>
      <c r="O720" s="27"/>
      <c r="Q720" s="61"/>
      <c r="W720" s="1"/>
    </row>
    <row r="721" spans="14:23">
      <c r="N721" s="1"/>
      <c r="O721" s="27"/>
      <c r="Q721" s="61"/>
      <c r="W721" s="1"/>
    </row>
    <row r="722" spans="14:23">
      <c r="N722" s="1"/>
      <c r="O722" s="27"/>
      <c r="Q722" s="61"/>
      <c r="W722" s="1"/>
    </row>
    <row r="723" spans="14:23">
      <c r="N723" s="1"/>
      <c r="O723" s="27"/>
      <c r="Q723" s="61"/>
      <c r="W723" s="1"/>
    </row>
    <row r="724" spans="14:23">
      <c r="N724" s="1"/>
      <c r="O724" s="27"/>
      <c r="Q724" s="61"/>
      <c r="W724" s="1"/>
    </row>
    <row r="725" spans="14:23">
      <c r="N725" s="1"/>
      <c r="O725" s="27"/>
      <c r="Q725" s="61"/>
      <c r="W725" s="1"/>
    </row>
    <row r="726" spans="14:23">
      <c r="N726" s="1"/>
      <c r="O726" s="27"/>
      <c r="Q726" s="61"/>
      <c r="W726" s="1"/>
    </row>
    <row r="727" spans="14:23">
      <c r="N727" s="1"/>
      <c r="O727" s="27"/>
      <c r="Q727" s="61"/>
      <c r="W727" s="1"/>
    </row>
    <row r="728" spans="14:23">
      <c r="N728" s="1"/>
      <c r="O728" s="27"/>
      <c r="Q728" s="61"/>
      <c r="W728" s="1"/>
    </row>
    <row r="729" spans="14:23">
      <c r="N729" s="1"/>
      <c r="O729" s="27"/>
      <c r="Q729" s="61"/>
      <c r="W729" s="1"/>
    </row>
    <row r="730" spans="14:23">
      <c r="N730" s="1"/>
      <c r="O730" s="27"/>
      <c r="Q730" s="61"/>
      <c r="W730" s="1"/>
    </row>
    <row r="731" spans="14:23">
      <c r="N731" s="1"/>
      <c r="O731" s="27"/>
      <c r="Q731" s="61"/>
      <c r="W731" s="1"/>
    </row>
    <row r="732" spans="14:23">
      <c r="N732" s="1"/>
      <c r="O732" s="27"/>
      <c r="Q732" s="61"/>
      <c r="W732" s="1"/>
    </row>
    <row r="733" spans="14:23">
      <c r="N733" s="1"/>
      <c r="O733" s="27"/>
      <c r="Q733" s="61"/>
      <c r="W733" s="1"/>
    </row>
    <row r="734" spans="14:23">
      <c r="N734" s="1"/>
      <c r="O734" s="27"/>
      <c r="Q734" s="61"/>
      <c r="W734" s="1"/>
    </row>
    <row r="735" spans="14:23">
      <c r="N735" s="1"/>
      <c r="O735" s="27"/>
      <c r="Q735" s="61"/>
      <c r="W735" s="1"/>
    </row>
    <row r="736" spans="14:23">
      <c r="N736" s="1"/>
      <c r="O736" s="27"/>
      <c r="Q736" s="61"/>
      <c r="W736" s="1"/>
    </row>
    <row r="737" spans="14:23">
      <c r="N737" s="1"/>
      <c r="O737" s="27"/>
      <c r="Q737" s="61"/>
      <c r="W737" s="1"/>
    </row>
    <row r="738" spans="14:23">
      <c r="N738" s="1"/>
      <c r="O738" s="27"/>
      <c r="Q738" s="61"/>
      <c r="W738" s="1"/>
    </row>
    <row r="739" spans="14:23">
      <c r="N739" s="1"/>
      <c r="O739" s="27"/>
      <c r="Q739" s="61"/>
      <c r="W739" s="1"/>
    </row>
    <row r="740" spans="14:23">
      <c r="W740" s="1"/>
    </row>
  </sheetData>
  <conditionalFormatting sqref="D6:D22">
    <cfRule type="colorScale" priority="1">
      <colorScale>
        <cfvo type="min"/>
        <cfvo type="max"/>
        <color rgb="FFFCFCFF"/>
        <color rgb="FF63BE7B"/>
      </colorScale>
    </cfRule>
    <cfRule type="colorScale" priority="2">
      <colorScale>
        <cfvo type="min"/>
        <cfvo type="max"/>
        <color rgb="FFFCFCFF"/>
        <color rgb="FFF8696B"/>
      </colorScale>
    </cfRule>
  </conditionalFormatting>
  <conditionalFormatting sqref="D6:D23">
    <cfRule type="colorScale" priority="13">
      <colorScale>
        <cfvo type="min"/>
        <cfvo type="max"/>
        <color rgb="FFF8696B"/>
        <color rgb="FFFCFCFF"/>
      </colorScale>
    </cfRule>
    <cfRule type="colorScale" priority="14">
      <colorScale>
        <cfvo type="min"/>
        <cfvo type="max"/>
        <color rgb="FF63BE7B"/>
        <color rgb="FFFCFCFF"/>
      </colorScale>
    </cfRule>
  </conditionalFormatting>
  <conditionalFormatting sqref="Q6:Q739">
    <cfRule type="colorScale" priority="4">
      <colorScale>
        <cfvo type="min"/>
        <cfvo type="max"/>
        <color rgb="FF63BE7B"/>
        <color rgb="FFFCFCFF"/>
      </colorScale>
    </cfRule>
    <cfRule type="colorScale" priority="5">
      <colorScale>
        <cfvo type="min"/>
        <cfvo type="max"/>
        <color rgb="FFF8696B"/>
        <color rgb="FFFCFCFF"/>
      </colorScale>
    </cfRule>
  </conditionalFormatting>
  <hyperlinks>
    <hyperlink ref="C1" r:id="rId1" xr:uid="{102CF790-1877-49EB-A0DB-636CFF1CC795}"/>
    <hyperlink ref="D26" r:id="rId2" xr:uid="{D88100E7-9096-42C3-BC76-162F22A2508C}"/>
    <hyperlink ref="D27" r:id="rId3" xr:uid="{782F1F9A-919B-4790-A7D7-E6CC58C3C245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02C56-6C2A-4F09-93EF-7429E9DD44A6}">
  <sheetPr>
    <tabColor rgb="FFFFFF00"/>
  </sheetPr>
  <dimension ref="A1:E133"/>
  <sheetViews>
    <sheetView zoomScale="85" zoomScaleNormal="85" workbookViewId="0">
      <selection activeCell="D117" sqref="D117"/>
    </sheetView>
  </sheetViews>
  <sheetFormatPr defaultRowHeight="28.5"/>
  <cols>
    <col min="1" max="1" width="10.59765625" bestFit="1" customWidth="1"/>
    <col min="2" max="2" width="23.796875" customWidth="1"/>
    <col min="3" max="3" width="15.33203125" bestFit="1" customWidth="1"/>
    <col min="4" max="4" width="21.1328125" bestFit="1" customWidth="1"/>
  </cols>
  <sheetData>
    <row r="1" spans="1:5">
      <c r="B1" t="s">
        <v>25</v>
      </c>
    </row>
    <row r="2" spans="1:5">
      <c r="B2" t="s">
        <v>26</v>
      </c>
    </row>
    <row r="4" spans="1:5">
      <c r="B4" s="22" t="s">
        <v>27</v>
      </c>
      <c r="C4" s="261">
        <v>1.6999999999999999E-3</v>
      </c>
    </row>
    <row r="5" spans="1:5">
      <c r="C5" t="s">
        <v>28</v>
      </c>
      <c r="D5" t="s">
        <v>29</v>
      </c>
    </row>
    <row r="6" spans="1:5">
      <c r="A6" s="1">
        <v>45754</v>
      </c>
      <c r="B6" t="s">
        <v>30</v>
      </c>
      <c r="C6" s="3">
        <f>'FOMC exp '!D6-$C$4</f>
        <v>4.3299999999999998E-2</v>
      </c>
      <c r="D6" s="62"/>
    </row>
    <row r="7" spans="1:5">
      <c r="A7" s="1">
        <v>45755</v>
      </c>
      <c r="B7" t="s">
        <v>31</v>
      </c>
      <c r="C7" s="3">
        <f>C6</f>
        <v>4.3299999999999998E-2</v>
      </c>
      <c r="D7" s="251"/>
    </row>
    <row r="8" spans="1:5">
      <c r="A8" s="1">
        <v>45756</v>
      </c>
      <c r="B8" t="s">
        <v>32</v>
      </c>
      <c r="C8" s="3">
        <f t="shared" ref="C8:C13" si="0">C7</f>
        <v>4.3299999999999998E-2</v>
      </c>
      <c r="D8" s="251"/>
    </row>
    <row r="9" spans="1:5">
      <c r="A9" s="1">
        <v>45757</v>
      </c>
      <c r="B9" t="s">
        <v>33</v>
      </c>
      <c r="C9" s="3">
        <f t="shared" si="0"/>
        <v>4.3299999999999998E-2</v>
      </c>
      <c r="D9" s="251"/>
    </row>
    <row r="10" spans="1:5">
      <c r="A10" s="1">
        <v>45758</v>
      </c>
      <c r="B10" t="s">
        <v>34</v>
      </c>
      <c r="C10" s="3">
        <f t="shared" si="0"/>
        <v>4.3299999999999998E-2</v>
      </c>
      <c r="D10" s="251"/>
    </row>
    <row r="11" spans="1:5">
      <c r="A11" s="1">
        <v>45759</v>
      </c>
      <c r="B11" t="s">
        <v>35</v>
      </c>
      <c r="C11" s="3">
        <f t="shared" si="0"/>
        <v>4.3299999999999998E-2</v>
      </c>
      <c r="D11" s="250"/>
    </row>
    <row r="12" spans="1:5">
      <c r="A12" s="1">
        <v>45760</v>
      </c>
      <c r="B12" t="s">
        <v>36</v>
      </c>
      <c r="C12" s="3">
        <f t="shared" si="0"/>
        <v>4.3299999999999998E-2</v>
      </c>
      <c r="D12" s="250"/>
    </row>
    <row r="13" spans="1:5">
      <c r="A13" s="1">
        <v>45761</v>
      </c>
      <c r="B13" t="s">
        <v>30</v>
      </c>
      <c r="C13" s="3">
        <f t="shared" si="0"/>
        <v>4.3299999999999998E-2</v>
      </c>
      <c r="D13" s="251"/>
      <c r="E13" t="s">
        <v>37</v>
      </c>
    </row>
    <row r="15" spans="1:5">
      <c r="C15" t="s">
        <v>38</v>
      </c>
      <c r="D15" s="28"/>
    </row>
    <row r="19" spans="1:4">
      <c r="B19" t="s">
        <v>39</v>
      </c>
    </row>
    <row r="20" spans="1:4">
      <c r="A20" t="s">
        <v>40</v>
      </c>
      <c r="B20" t="s">
        <v>41</v>
      </c>
      <c r="C20" t="s">
        <v>42</v>
      </c>
      <c r="D20" t="s">
        <v>29</v>
      </c>
    </row>
    <row r="21" spans="1:4">
      <c r="A21" t="s">
        <v>30</v>
      </c>
      <c r="B21" s="1">
        <v>45754</v>
      </c>
      <c r="C21" s="45">
        <f>IF(LEFT(A21,1)="S","",VLOOKUP(B21,'Your &amp; cons term structure'!$AC$4:$AE$734,3)-$C$4)</f>
        <v>4.3299999999999998E-2</v>
      </c>
      <c r="D21">
        <v>1</v>
      </c>
    </row>
    <row r="22" spans="1:4">
      <c r="A22" t="s">
        <v>31</v>
      </c>
      <c r="B22" s="1">
        <v>45755</v>
      </c>
      <c r="C22" s="45">
        <f>IF(LEFT(A22,1)="S","",VLOOKUP(B22,'Your &amp; cons term structure'!$AC$4:$AE$734,3)-$C$4)</f>
        <v>4.3299999999999998E-2</v>
      </c>
      <c r="D22">
        <f>D21*(1+C21*1/360)</f>
        <v>1.0001202777777778</v>
      </c>
    </row>
    <row r="23" spans="1:4">
      <c r="A23" t="s">
        <v>32</v>
      </c>
      <c r="B23" s="1">
        <v>45756</v>
      </c>
      <c r="C23" s="45">
        <f>IF(LEFT(A23,1)="S","",VLOOKUP(B23,'Your &amp; cons term structure'!$AC$4:$AE$734,3)-$C$4)</f>
        <v>4.3299999999999998E-2</v>
      </c>
      <c r="D23">
        <f t="shared" ref="D23:D86" si="1">D22*(1+C22*1/360)</f>
        <v>1.0002405700222994</v>
      </c>
    </row>
    <row r="24" spans="1:4">
      <c r="A24" t="s">
        <v>33</v>
      </c>
      <c r="B24" s="1">
        <v>45757</v>
      </c>
      <c r="C24" s="45">
        <f>IF(LEFT(A24,1)="S","",VLOOKUP(B24,'Your &amp; cons term structure'!$AC$4:$AE$734,3)-$C$4)</f>
        <v>4.3299999999999998E-2</v>
      </c>
      <c r="D24">
        <f t="shared" si="1"/>
        <v>1.0003608767353049</v>
      </c>
    </row>
    <row r="25" spans="1:4">
      <c r="A25" t="s">
        <v>34</v>
      </c>
      <c r="B25" s="1">
        <v>45758</v>
      </c>
      <c r="C25" s="45">
        <f>IF(LEFT(A25,1)="S","",VLOOKUP(B25,'Your &amp; cons term structure'!$AC$4:$AE$734,3)-$C$4)</f>
        <v>4.3299999999999998E-2</v>
      </c>
      <c r="D25">
        <f t="shared" si="1"/>
        <v>1.0004811979185344</v>
      </c>
    </row>
    <row r="26" spans="1:4">
      <c r="A26" t="s">
        <v>35</v>
      </c>
      <c r="B26" s="1">
        <v>45759</v>
      </c>
      <c r="C26" s="45" t="str">
        <f>IF(LEFT(A26,1)="S","",VLOOKUP(B26,'Your &amp; cons term structure'!$AC$4:$AE$734,3)-$C$4)</f>
        <v/>
      </c>
    </row>
    <row r="27" spans="1:4">
      <c r="A27" t="s">
        <v>36</v>
      </c>
      <c r="B27" s="1">
        <v>45760</v>
      </c>
      <c r="C27" s="45" t="str">
        <f>IF(LEFT(A27,1)="S","",VLOOKUP(B27,'Your &amp; cons term structure'!$AC$4:$AE$734,3)-$C$4)</f>
        <v/>
      </c>
    </row>
    <row r="28" spans="1:4">
      <c r="A28" t="s">
        <v>30</v>
      </c>
      <c r="B28" s="1">
        <v>45761</v>
      </c>
      <c r="C28" s="45">
        <f>IF(LEFT(A28,1)="S","",VLOOKUP(B28,'Your &amp; cons term structure'!$AC$4:$AE$734,3)-$C$4)</f>
        <v>4.3299999999999998E-2</v>
      </c>
      <c r="D28">
        <f>D25*(1+C25*3/360)</f>
        <v>1.0008422048841168</v>
      </c>
    </row>
    <row r="29" spans="1:4">
      <c r="A29" t="s">
        <v>31</v>
      </c>
      <c r="B29" s="1">
        <v>45762</v>
      </c>
      <c r="C29" s="45">
        <f>IF(LEFT(A29,1)="S","",VLOOKUP(B29,'Your &amp; cons term structure'!$AC$4:$AE$734,3)-$C$4)</f>
        <v>4.3299999999999998E-2</v>
      </c>
      <c r="D29">
        <f t="shared" ref="D29" si="2">D28*(1+C28*1/360)</f>
        <v>1.0009625839604264</v>
      </c>
    </row>
    <row r="30" spans="1:4">
      <c r="A30" t="s">
        <v>32</v>
      </c>
      <c r="B30" s="1">
        <v>45763</v>
      </c>
      <c r="C30" s="45">
        <f>IF(LEFT(A30,1)="S","",VLOOKUP(B30,'Your &amp; cons term structure'!$AC$4:$AE$734,3)-$C$4)</f>
        <v>4.3299999999999998E-2</v>
      </c>
      <c r="D30">
        <f t="shared" si="1"/>
        <v>1.0010829775156638</v>
      </c>
    </row>
    <row r="31" spans="1:4">
      <c r="A31" t="s">
        <v>33</v>
      </c>
      <c r="B31" s="1">
        <v>45764</v>
      </c>
      <c r="C31" s="45">
        <f>IF(LEFT(A31,1)="S","",VLOOKUP(B31,'Your &amp; cons term structure'!$AC$4:$AE$734,3)-$C$4)</f>
        <v>4.3299999999999998E-2</v>
      </c>
      <c r="D31">
        <f t="shared" si="1"/>
        <v>1.0012033855515705</v>
      </c>
    </row>
    <row r="32" spans="1:4">
      <c r="A32" t="s">
        <v>34</v>
      </c>
      <c r="B32" s="1">
        <v>45765</v>
      </c>
      <c r="C32" s="45">
        <f>IF(LEFT(A32,1)="S","",VLOOKUP(B32,'Your &amp; cons term structure'!$AC$4:$AE$734,3)-$C$4)</f>
        <v>4.3299999999999998E-2</v>
      </c>
      <c r="D32">
        <f t="shared" si="1"/>
        <v>1.0013238080698883</v>
      </c>
    </row>
    <row r="33" spans="1:4">
      <c r="A33" t="s">
        <v>35</v>
      </c>
      <c r="B33" s="1">
        <v>45766</v>
      </c>
      <c r="C33" s="45" t="str">
        <f>IF(LEFT(A33,1)="S","",VLOOKUP(B33,'Your &amp; cons term structure'!$AC$4:$AE$734,3)-$C$4)</f>
        <v/>
      </c>
    </row>
    <row r="34" spans="1:4">
      <c r="A34" t="s">
        <v>36</v>
      </c>
      <c r="B34" s="1">
        <v>45767</v>
      </c>
      <c r="C34" s="45" t="str">
        <f>IF(LEFT(A34,1)="S","",VLOOKUP(B34,'Your &amp; cons term structure'!$AC$4:$AE$734,3)-$C$4)</f>
        <v/>
      </c>
    </row>
    <row r="35" spans="1:4">
      <c r="A35" t="s">
        <v>30</v>
      </c>
      <c r="B35" s="1">
        <v>45768</v>
      </c>
      <c r="C35" s="45">
        <f>IF(LEFT(A35,1)="S","",VLOOKUP(B35,'Your &amp; cons term structure'!$AC$4:$AE$734,3)-$C$4)</f>
        <v>4.3299999999999998E-2</v>
      </c>
      <c r="D35">
        <f t="shared" ref="D35" si="3">D32*(1+C32*3/360)</f>
        <v>1.0016851190773002</v>
      </c>
    </row>
    <row r="36" spans="1:4">
      <c r="A36" t="s">
        <v>31</v>
      </c>
      <c r="B36" s="1">
        <v>45769</v>
      </c>
      <c r="C36" s="45">
        <f>IF(LEFT(A36,1)="S","",VLOOKUP(B36,'Your &amp; cons term structure'!$AC$4:$AE$734,3)-$C$4)</f>
        <v>4.3299999999999998E-2</v>
      </c>
      <c r="D36">
        <f t="shared" ref="D36" si="4">D35*(1+C35*1/360)</f>
        <v>1.001805599537456</v>
      </c>
    </row>
    <row r="37" spans="1:4">
      <c r="A37" t="s">
        <v>32</v>
      </c>
      <c r="B37" s="1">
        <v>45770</v>
      </c>
      <c r="C37" s="45">
        <f>IF(LEFT(A37,1)="S","",VLOOKUP(B37,'Your &amp; cons term structure'!$AC$4:$AE$734,3)-$C$4)</f>
        <v>4.3299999999999998E-2</v>
      </c>
      <c r="D37">
        <f t="shared" si="1"/>
        <v>1.0019260944887336</v>
      </c>
    </row>
    <row r="38" spans="1:4">
      <c r="A38" t="s">
        <v>33</v>
      </c>
      <c r="B38" s="1">
        <v>45771</v>
      </c>
      <c r="C38" s="45">
        <f>IF(LEFT(A38,1)="S","",VLOOKUP(B38,'Your &amp; cons term structure'!$AC$4:$AE$734,3)-$C$4)</f>
        <v>4.3299999999999998E-2</v>
      </c>
      <c r="D38">
        <f t="shared" si="1"/>
        <v>1.0020466039328764</v>
      </c>
    </row>
    <row r="39" spans="1:4">
      <c r="A39" t="s">
        <v>34</v>
      </c>
      <c r="B39" s="1">
        <v>45772</v>
      </c>
      <c r="C39" s="45">
        <f>IF(LEFT(A39,1)="S","",VLOOKUP(B39,'Your &amp; cons term structure'!$AC$4:$AE$734,3)-$C$4)</f>
        <v>4.3299999999999998E-2</v>
      </c>
      <c r="D39">
        <f t="shared" si="1"/>
        <v>1.0021671278716271</v>
      </c>
    </row>
    <row r="40" spans="1:4">
      <c r="A40" t="s">
        <v>35</v>
      </c>
      <c r="B40" s="1">
        <v>45773</v>
      </c>
      <c r="C40" s="45" t="str">
        <f>IF(LEFT(A40,1)="S","",VLOOKUP(B40,'Your &amp; cons term structure'!$AC$4:$AE$734,3)-$C$4)</f>
        <v/>
      </c>
    </row>
    <row r="41" spans="1:4">
      <c r="A41" t="s">
        <v>36</v>
      </c>
      <c r="B41" s="1">
        <v>45774</v>
      </c>
      <c r="C41" s="45" t="str">
        <f>IF(LEFT(A41,1)="S","",VLOOKUP(B41,'Your &amp; cons term structure'!$AC$4:$AE$734,3)-$C$4)</f>
        <v/>
      </c>
    </row>
    <row r="42" spans="1:4">
      <c r="A42" t="s">
        <v>30</v>
      </c>
      <c r="B42" s="1">
        <v>45775</v>
      </c>
      <c r="C42" s="45">
        <f>IF(LEFT(A42,1)="S","",VLOOKUP(B42,'Your &amp; cons term structure'!$AC$4:$AE$734,3)-$C$4)</f>
        <v>4.3299999999999998E-2</v>
      </c>
      <c r="D42">
        <f t="shared" ref="D42" si="5">D39*(1+C39*3/360)</f>
        <v>1.0025287431769341</v>
      </c>
    </row>
    <row r="43" spans="1:4">
      <c r="A43" t="s">
        <v>31</v>
      </c>
      <c r="B43" s="1">
        <v>45776</v>
      </c>
      <c r="C43" s="45">
        <f>IF(LEFT(A43,1)="S","",VLOOKUP(B43,'Your &amp; cons term structure'!$AC$4:$AE$734,3)-$C$4)</f>
        <v>4.3299999999999998E-2</v>
      </c>
      <c r="D43">
        <f t="shared" ref="D43" si="6">D42*(1+C42*1/360)</f>
        <v>1.0026493251063218</v>
      </c>
    </row>
    <row r="44" spans="1:4">
      <c r="A44" t="s">
        <v>32</v>
      </c>
      <c r="B44" s="1">
        <v>45777</v>
      </c>
      <c r="C44" s="45">
        <f>IF(LEFT(A44,1)="S","",VLOOKUP(B44,'Your &amp; cons term structure'!$AC$4:$AE$734,3)-$C$4)</f>
        <v>4.3299999999999998E-2</v>
      </c>
      <c r="D44">
        <f t="shared" si="1"/>
        <v>1.002769921539036</v>
      </c>
    </row>
    <row r="45" spans="1:4">
      <c r="A45" t="s">
        <v>33</v>
      </c>
      <c r="B45" s="1">
        <v>45778</v>
      </c>
      <c r="C45" s="45">
        <f>IF(LEFT(A45,1)="S","",VLOOKUP(B45,'Your &amp; cons term structure'!$AC$4:$AE$734,3)-$C$4)</f>
        <v>4.3299999999999998E-2</v>
      </c>
      <c r="D45">
        <f t="shared" si="1"/>
        <v>1.0028905324768211</v>
      </c>
    </row>
    <row r="46" spans="1:4">
      <c r="A46" t="s">
        <v>34</v>
      </c>
      <c r="B46" s="1">
        <v>45779</v>
      </c>
      <c r="C46" s="45">
        <f>IF(LEFT(A46,1)="S","",VLOOKUP(B46,'Your &amp; cons term structure'!$AC$4:$AE$734,3)-$C$4)</f>
        <v>4.3299999999999998E-2</v>
      </c>
      <c r="D46">
        <f t="shared" si="1"/>
        <v>1.0030111579214218</v>
      </c>
    </row>
    <row r="47" spans="1:4">
      <c r="A47" t="s">
        <v>35</v>
      </c>
      <c r="B47" s="1">
        <v>45780</v>
      </c>
      <c r="C47" s="45" t="str">
        <f>IF(LEFT(A47,1)="S","",VLOOKUP(B47,'Your &amp; cons term structure'!$AC$4:$AE$734,3)-$C$4)</f>
        <v/>
      </c>
    </row>
    <row r="48" spans="1:4">
      <c r="A48" t="s">
        <v>36</v>
      </c>
      <c r="B48" s="1">
        <v>45781</v>
      </c>
      <c r="C48" s="45" t="str">
        <f>IF(LEFT(A48,1)="S","",VLOOKUP(B48,'Your &amp; cons term structure'!$AC$4:$AE$734,3)-$C$4)</f>
        <v/>
      </c>
    </row>
    <row r="49" spans="1:4">
      <c r="A49" t="s">
        <v>30</v>
      </c>
      <c r="B49" s="1">
        <v>45782</v>
      </c>
      <c r="C49" s="45">
        <f>IF(LEFT(A49,1)="S","",VLOOKUP(B49,'Your &amp; cons term structure'!$AC$4:$AE$734,3)-$C$4)</f>
        <v>4.3299999999999998E-2</v>
      </c>
      <c r="D49">
        <f t="shared" ref="D49" si="7">D46*(1+C46*3/360)</f>
        <v>1.0033730777809051</v>
      </c>
    </row>
    <row r="50" spans="1:4">
      <c r="A50" t="s">
        <v>31</v>
      </c>
      <c r="B50" s="1">
        <v>45783</v>
      </c>
      <c r="C50" s="45">
        <f>IF(LEFT(A50,1)="S","",VLOOKUP(B50,'Your &amp; cons term structure'!$AC$4:$AE$734,3)-$C$4)</f>
        <v>4.3299999999999998E-2</v>
      </c>
      <c r="D50">
        <f t="shared" ref="D50" si="8">D49*(1+C49*1/360)</f>
        <v>1.0034937612649826</v>
      </c>
    </row>
    <row r="51" spans="1:4">
      <c r="A51" t="s">
        <v>32</v>
      </c>
      <c r="B51" s="1">
        <v>45784</v>
      </c>
      <c r="C51" s="45">
        <f>IF(LEFT(A51,1)="S","",VLOOKUP(B51,'Your &amp; cons term structure'!$AC$4:$AE$734,3)-$C$4)</f>
        <v>4.3299999999999998E-2</v>
      </c>
      <c r="D51">
        <f t="shared" si="1"/>
        <v>1.0036144592646015</v>
      </c>
    </row>
    <row r="52" spans="1:4">
      <c r="A52" t="s">
        <v>33</v>
      </c>
      <c r="B52" s="1">
        <v>45785</v>
      </c>
      <c r="C52" s="45">
        <f>IF(LEFT(A52,1)="S","",VLOOKUP(B52,'Your &amp; cons term structure'!$AC$4:$AE$734,3)-$C$4)</f>
        <v>4.3299999999999998E-2</v>
      </c>
      <c r="D52">
        <f t="shared" si="1"/>
        <v>1.0037351717815075</v>
      </c>
    </row>
    <row r="53" spans="1:4">
      <c r="A53" t="s">
        <v>34</v>
      </c>
      <c r="B53" s="1">
        <v>45786</v>
      </c>
      <c r="C53" s="45">
        <f>IF(LEFT(A53,1)="S","",VLOOKUP(B53,'Your &amp; cons term structure'!$AC$4:$AE$734,3)-$C$4)</f>
        <v>4.3299999999999998E-2</v>
      </c>
      <c r="D53">
        <f t="shared" si="1"/>
        <v>1.0038558988174469</v>
      </c>
    </row>
    <row r="54" spans="1:4">
      <c r="A54" t="s">
        <v>35</v>
      </c>
      <c r="B54" s="1">
        <v>45787</v>
      </c>
      <c r="C54" s="45" t="str">
        <f>IF(LEFT(A54,1)="S","",VLOOKUP(B54,'Your &amp; cons term structure'!$AC$4:$AE$734,3)-$C$4)</f>
        <v/>
      </c>
    </row>
    <row r="55" spans="1:4">
      <c r="A55" t="s">
        <v>36</v>
      </c>
      <c r="B55" s="1">
        <v>45788</v>
      </c>
      <c r="C55" s="45" t="str">
        <f>IF(LEFT(A55,1)="S","",VLOOKUP(B55,'Your &amp; cons term structure'!$AC$4:$AE$734,3)-$C$4)</f>
        <v/>
      </c>
    </row>
    <row r="56" spans="1:4">
      <c r="A56" t="s">
        <v>30</v>
      </c>
      <c r="B56" s="1">
        <v>45789</v>
      </c>
      <c r="C56" s="45">
        <f>IF(LEFT(A56,1)="S","",VLOOKUP(B56,'Your &amp; cons term structure'!$AC$4:$AE$734,3)-$C$4)</f>
        <v>4.3299999999999998E-2</v>
      </c>
      <c r="D56">
        <f t="shared" ref="D56" si="9">D53*(1+C53*3/360)</f>
        <v>1.0042181234876035</v>
      </c>
    </row>
    <row r="57" spans="1:4">
      <c r="A57" t="s">
        <v>31</v>
      </c>
      <c r="B57" s="1">
        <v>45790</v>
      </c>
      <c r="C57" s="45">
        <f>IF(LEFT(A57,1)="S","",VLOOKUP(B57,'Your &amp; cons term structure'!$AC$4:$AE$734,3)-$C$4)</f>
        <v>4.3299999999999998E-2</v>
      </c>
      <c r="D57">
        <f t="shared" ref="D57" si="10">D56*(1+C56*1/360)</f>
        <v>1.0043389086119008</v>
      </c>
    </row>
    <row r="58" spans="1:4">
      <c r="A58" t="s">
        <v>32</v>
      </c>
      <c r="B58" s="1">
        <v>45791</v>
      </c>
      <c r="C58" s="45">
        <f>IF(LEFT(A58,1)="S","",VLOOKUP(B58,'Your &amp; cons term structure'!$AC$4:$AE$734,3)-$C$4)</f>
        <v>4.3299999999999998E-2</v>
      </c>
      <c r="D58">
        <f t="shared" si="1"/>
        <v>1.0044597082639644</v>
      </c>
    </row>
    <row r="59" spans="1:4">
      <c r="A59" t="s">
        <v>33</v>
      </c>
      <c r="B59" s="1">
        <v>45792</v>
      </c>
      <c r="C59" s="45">
        <f>IF(LEFT(A59,1)="S","",VLOOKUP(B59,'Your &amp; cons term structure'!$AC$4:$AE$734,3)-$C$4)</f>
        <v>4.3299999999999998E-2</v>
      </c>
      <c r="D59">
        <f t="shared" si="1"/>
        <v>1.0045805224455417</v>
      </c>
    </row>
    <row r="60" spans="1:4">
      <c r="A60" t="s">
        <v>34</v>
      </c>
      <c r="B60" s="1">
        <v>45793</v>
      </c>
      <c r="C60" s="45">
        <f>IF(LEFT(A60,1)="S","",VLOOKUP(B60,'Your &amp; cons term structure'!$AC$4:$AE$734,3)-$C$4)</f>
        <v>4.3299999999999998E-2</v>
      </c>
      <c r="D60">
        <f t="shared" si="1"/>
        <v>1.0047013511583804</v>
      </c>
    </row>
    <row r="61" spans="1:4">
      <c r="A61" t="s">
        <v>35</v>
      </c>
      <c r="B61" s="1">
        <v>45794</v>
      </c>
      <c r="C61" s="45" t="str">
        <f>IF(LEFT(A61,1)="S","",VLOOKUP(B61,'Your &amp; cons term structure'!$AC$4:$AE$734,3)-$C$4)</f>
        <v/>
      </c>
    </row>
    <row r="62" spans="1:4">
      <c r="A62" t="s">
        <v>36</v>
      </c>
      <c r="B62" s="1">
        <v>45795</v>
      </c>
      <c r="C62" s="45" t="str">
        <f>IF(LEFT(A62,1)="S","",VLOOKUP(B62,'Your &amp; cons term structure'!$AC$4:$AE$734,3)-$C$4)</f>
        <v/>
      </c>
    </row>
    <row r="63" spans="1:4">
      <c r="A63" t="s">
        <v>30</v>
      </c>
      <c r="B63" s="1">
        <v>45796</v>
      </c>
      <c r="C63" s="45">
        <f>IF(LEFT(A63,1)="S","",VLOOKUP(B63,'Your &amp; cons term structure'!$AC$4:$AE$734,3)-$C$4)</f>
        <v>4.3299999999999998E-2</v>
      </c>
      <c r="D63">
        <f t="shared" ref="D63" si="11">D60*(1+C60*3/360)</f>
        <v>1.0050638808959234</v>
      </c>
    </row>
    <row r="64" spans="1:4">
      <c r="A64" t="s">
        <v>31</v>
      </c>
      <c r="B64" s="1">
        <v>45797</v>
      </c>
      <c r="C64" s="45">
        <f>IF(LEFT(A64,1)="S","",VLOOKUP(B64,'Your &amp; cons term structure'!$AC$4:$AE$734,3)-$C$4)</f>
        <v>4.3299999999999998E-2</v>
      </c>
      <c r="D64">
        <f t="shared" ref="D64" si="12">D63*(1+C63*1/360)</f>
        <v>1.0051847677460422</v>
      </c>
    </row>
    <row r="65" spans="1:4">
      <c r="A65" t="s">
        <v>32</v>
      </c>
      <c r="B65" s="1">
        <v>45798</v>
      </c>
      <c r="C65" s="45">
        <f>IF(LEFT(A65,1)="S","",VLOOKUP(B65,'Your &amp; cons term structure'!$AC$4:$AE$734,3)-$C$4)</f>
        <v>4.3299999999999998E-2</v>
      </c>
      <c r="D65">
        <f t="shared" si="1"/>
        <v>1.0053056691361628</v>
      </c>
    </row>
    <row r="66" spans="1:4">
      <c r="A66" t="s">
        <v>33</v>
      </c>
      <c r="B66" s="1">
        <v>45799</v>
      </c>
      <c r="C66" s="45">
        <f>IF(LEFT(A66,1)="S","",VLOOKUP(B66,'Your &amp; cons term structure'!$AC$4:$AE$734,3)-$C$4)</f>
        <v>4.3299999999999998E-2</v>
      </c>
      <c r="D66">
        <f t="shared" si="1"/>
        <v>1.005426585068034</v>
      </c>
    </row>
    <row r="67" spans="1:4">
      <c r="A67" t="s">
        <v>34</v>
      </c>
      <c r="B67" s="1">
        <v>45800</v>
      </c>
      <c r="C67" s="45">
        <f>IF(LEFT(A67,1)="S","",VLOOKUP(B67,'Your &amp; cons term structure'!$AC$4:$AE$734,3)-$C$4)</f>
        <v>4.3299999999999998E-2</v>
      </c>
      <c r="D67">
        <f t="shared" si="1"/>
        <v>1.0055475155434046</v>
      </c>
    </row>
    <row r="68" spans="1:4">
      <c r="A68" t="s">
        <v>35</v>
      </c>
      <c r="B68" s="1">
        <v>45801</v>
      </c>
      <c r="C68" s="45" t="str">
        <f>IF(LEFT(A68,1)="S","",VLOOKUP(B68,'Your &amp; cons term structure'!$AC$4:$AE$734,3)-$C$4)</f>
        <v/>
      </c>
    </row>
    <row r="69" spans="1:4">
      <c r="A69" t="s">
        <v>36</v>
      </c>
      <c r="B69" s="1">
        <v>45802</v>
      </c>
      <c r="C69" s="45" t="str">
        <f>IF(LEFT(A69,1)="S","",VLOOKUP(B69,'Your &amp; cons term structure'!$AC$4:$AE$734,3)-$C$4)</f>
        <v/>
      </c>
    </row>
    <row r="70" spans="1:4">
      <c r="A70" t="s">
        <v>30</v>
      </c>
      <c r="B70" s="1">
        <v>45803</v>
      </c>
      <c r="C70" s="45">
        <f>IF(LEFT(A70,1)="S","",VLOOKUP(B70,'Your &amp; cons term structure'!$AC$4:$AE$734,3)-$C$4)</f>
        <v>4.3299999999999998E-2</v>
      </c>
      <c r="D70">
        <f t="shared" ref="D70" si="13">D67*(1+C67*3/360)</f>
        <v>1.0059103506052631</v>
      </c>
    </row>
    <row r="71" spans="1:4">
      <c r="A71" t="s">
        <v>31</v>
      </c>
      <c r="B71" s="1">
        <v>45804</v>
      </c>
      <c r="C71" s="45">
        <f>IF(LEFT(A71,1)="S","",VLOOKUP(B71,'Your &amp; cons term structure'!$AC$4:$AE$734,3)-$C$4)</f>
        <v>4.3299999999999998E-2</v>
      </c>
      <c r="D71">
        <f t="shared" ref="D71" si="14">D70*(1+C70*1/360)</f>
        <v>1.0060313392668776</v>
      </c>
    </row>
    <row r="72" spans="1:4">
      <c r="A72" t="s">
        <v>32</v>
      </c>
      <c r="B72" s="1">
        <v>45805</v>
      </c>
      <c r="C72" s="45">
        <f>IF(LEFT(A72,1)="S","",VLOOKUP(B72,'Your &amp; cons term structure'!$AC$4:$AE$734,3)-$C$4)</f>
        <v>4.3299999999999998E-2</v>
      </c>
      <c r="D72">
        <f t="shared" si="1"/>
        <v>1.0061523424807395</v>
      </c>
    </row>
    <row r="73" spans="1:4">
      <c r="A73" t="s">
        <v>33</v>
      </c>
      <c r="B73" s="1">
        <v>45806</v>
      </c>
      <c r="C73" s="45">
        <f>IF(LEFT(A73,1)="S","",VLOOKUP(B73,'Your &amp; cons term structure'!$AC$4:$AE$734,3)-$C$4)</f>
        <v>4.3299999999999998E-2</v>
      </c>
      <c r="D73">
        <f t="shared" si="1"/>
        <v>1.0062733602485989</v>
      </c>
    </row>
    <row r="74" spans="1:4">
      <c r="A74" t="s">
        <v>34</v>
      </c>
      <c r="B74" s="1">
        <v>45807</v>
      </c>
      <c r="C74" s="45">
        <f>IF(LEFT(A74,1)="S","",VLOOKUP(B74,'Your &amp; cons term structure'!$AC$4:$AE$734,3)-$C$4)</f>
        <v>4.3299999999999998E-2</v>
      </c>
      <c r="D74">
        <f t="shared" si="1"/>
        <v>1.0063943925722065</v>
      </c>
    </row>
    <row r="75" spans="1:4">
      <c r="A75" t="s">
        <v>35</v>
      </c>
      <c r="B75" s="1">
        <v>45808</v>
      </c>
      <c r="C75" s="45" t="str">
        <f>IF(LEFT(A75,1)="S","",VLOOKUP(B75,'Your &amp; cons term structure'!$AC$4:$AE$734,3)-$C$4)</f>
        <v/>
      </c>
    </row>
    <row r="76" spans="1:4">
      <c r="A76" t="s">
        <v>36</v>
      </c>
      <c r="B76" s="1">
        <v>45809</v>
      </c>
      <c r="C76" s="45" t="str">
        <f>IF(LEFT(A76,1)="S","",VLOOKUP(B76,'Your &amp; cons term structure'!$AC$4:$AE$734,3)-$C$4)</f>
        <v/>
      </c>
    </row>
    <row r="77" spans="1:4">
      <c r="A77" t="s">
        <v>30</v>
      </c>
      <c r="B77" s="1">
        <v>45810</v>
      </c>
      <c r="C77" s="45">
        <f>IF(LEFT(A77,1)="S","",VLOOKUP(B77,'Your &amp; cons term structure'!$AC$4:$AE$734,3)-$C$4)</f>
        <v>4.3299999999999998E-2</v>
      </c>
      <c r="D77">
        <f t="shared" ref="D77" si="15">D74*(1+C74*3/360)</f>
        <v>1.0067575332155263</v>
      </c>
    </row>
    <row r="78" spans="1:4">
      <c r="A78" t="s">
        <v>31</v>
      </c>
      <c r="B78" s="1">
        <v>45811</v>
      </c>
      <c r="C78" s="45">
        <f>IF(LEFT(A78,1)="S","",VLOOKUP(B78,'Your &amp; cons term structure'!$AC$4:$AE$734,3)-$C$4)</f>
        <v>4.3299999999999998E-2</v>
      </c>
      <c r="D78">
        <f t="shared" ref="D78" si="16">D77*(1+C77*1/360)</f>
        <v>1.0068786237743825</v>
      </c>
    </row>
    <row r="79" spans="1:4">
      <c r="A79" t="s">
        <v>32</v>
      </c>
      <c r="B79" s="1">
        <v>45812</v>
      </c>
      <c r="C79" s="45">
        <f>IF(LEFT(A79,1)="S","",VLOOKUP(B79,'Your &amp; cons term structure'!$AC$4:$AE$734,3)-$C$4)</f>
        <v>4.3299999999999998E-2</v>
      </c>
      <c r="D79">
        <f t="shared" si="1"/>
        <v>1.0069997288977421</v>
      </c>
    </row>
    <row r="80" spans="1:4">
      <c r="A80" t="s">
        <v>33</v>
      </c>
      <c r="B80" s="1">
        <v>45813</v>
      </c>
      <c r="C80" s="45">
        <f>IF(LEFT(A80,1)="S","",VLOOKUP(B80,'Your &amp; cons term structure'!$AC$4:$AE$734,3)-$C$4)</f>
        <v>4.3299999999999998E-2</v>
      </c>
      <c r="D80">
        <f t="shared" si="1"/>
        <v>1.0071208485873568</v>
      </c>
    </row>
    <row r="81" spans="1:4">
      <c r="A81" t="s">
        <v>34</v>
      </c>
      <c r="B81" s="1">
        <v>45814</v>
      </c>
      <c r="C81" s="45">
        <f>IF(LEFT(A81,1)="S","",VLOOKUP(B81,'Your &amp; cons term structure'!$AC$4:$AE$734,3)-$C$4)</f>
        <v>4.3299999999999998E-2</v>
      </c>
      <c r="D81">
        <f t="shared" si="1"/>
        <v>1.0072419828449786</v>
      </c>
    </row>
    <row r="82" spans="1:4">
      <c r="A82" t="s">
        <v>35</v>
      </c>
      <c r="B82" s="1">
        <v>45815</v>
      </c>
      <c r="C82" s="45" t="str">
        <f>IF(LEFT(A82,1)="S","",VLOOKUP(B82,'Your &amp; cons term structure'!$AC$4:$AE$734,3)-$C$4)</f>
        <v/>
      </c>
    </row>
    <row r="83" spans="1:4">
      <c r="A83" t="s">
        <v>36</v>
      </c>
      <c r="B83" s="1">
        <v>45816</v>
      </c>
      <c r="C83" s="45" t="str">
        <f>IF(LEFT(A83,1)="S","",VLOOKUP(B83,'Your &amp; cons term structure'!$AC$4:$AE$734,3)-$C$4)</f>
        <v/>
      </c>
    </row>
    <row r="84" spans="1:4">
      <c r="A84" t="s">
        <v>30</v>
      </c>
      <c r="B84" s="1">
        <v>45817</v>
      </c>
      <c r="C84" s="45">
        <f>IF(LEFT(A84,1)="S","",VLOOKUP(B84,'Your &amp; cons term structure'!$AC$4:$AE$734,3)-$C$4)</f>
        <v>4.3299999999999998E-2</v>
      </c>
      <c r="D84">
        <f t="shared" ref="D84" si="17">D81*(1+C81*3/360)</f>
        <v>1.0076054293271219</v>
      </c>
    </row>
    <row r="85" spans="1:4">
      <c r="A85" t="s">
        <v>31</v>
      </c>
      <c r="B85" s="1">
        <v>45818</v>
      </c>
      <c r="C85" s="45">
        <f>IF(LEFT(A85,1)="S","",VLOOKUP(B85,'Your &amp; cons term structure'!$AC$4:$AE$734,3)-$C$4)</f>
        <v>4.3299999999999998E-2</v>
      </c>
      <c r="D85">
        <f t="shared" ref="D85" si="18">D84*(1+C84*1/360)</f>
        <v>1.0077266218690382</v>
      </c>
    </row>
    <row r="86" spans="1:4">
      <c r="A86" t="s">
        <v>32</v>
      </c>
      <c r="B86" s="1">
        <v>45819</v>
      </c>
      <c r="C86" s="45">
        <f>IF(LEFT(A86,1)="S","",VLOOKUP(B86,'Your &amp; cons term structure'!$AC$4:$AE$734,3)-$C$4)</f>
        <v>4.3299999999999998E-2</v>
      </c>
      <c r="D86">
        <f t="shared" si="1"/>
        <v>1.0078478289877242</v>
      </c>
    </row>
    <row r="87" spans="1:4">
      <c r="A87" t="s">
        <v>33</v>
      </c>
      <c r="B87" s="1">
        <v>45820</v>
      </c>
      <c r="C87" s="45">
        <f>IF(LEFT(A87,1)="S","",VLOOKUP(B87,'Your &amp; cons term structure'!$AC$4:$AE$734,3)-$C$4)</f>
        <v>4.3299999999999998E-2</v>
      </c>
      <c r="D87">
        <f t="shared" ref="D87:D109" si="19">D86*(1+C86*1/360)</f>
        <v>1.007969050684933</v>
      </c>
    </row>
    <row r="88" spans="1:4">
      <c r="A88" t="s">
        <v>34</v>
      </c>
      <c r="B88" s="1">
        <v>45821</v>
      </c>
      <c r="C88" s="45">
        <f>IF(LEFT(A88,1)="S","",VLOOKUP(B88,'Your &amp; cons term structure'!$AC$4:$AE$734,3)-$C$4)</f>
        <v>4.3299999999999998E-2</v>
      </c>
      <c r="D88">
        <f t="shared" si="19"/>
        <v>1.0080902869624182</v>
      </c>
    </row>
    <row r="89" spans="1:4">
      <c r="A89" t="s">
        <v>35</v>
      </c>
      <c r="B89" s="1">
        <v>45822</v>
      </c>
      <c r="C89" s="45" t="str">
        <f>IF(LEFT(A89,1)="S","",VLOOKUP(B89,'Your &amp; cons term structure'!$AC$4:$AE$734,3)-$C$4)</f>
        <v/>
      </c>
    </row>
    <row r="90" spans="1:4">
      <c r="A90" t="s">
        <v>36</v>
      </c>
      <c r="B90" s="1">
        <v>45823</v>
      </c>
      <c r="C90" s="45" t="str">
        <f>IF(LEFT(A90,1)="S","",VLOOKUP(B90,'Your &amp; cons term structure'!$AC$4:$AE$734,3)-$C$4)</f>
        <v/>
      </c>
    </row>
    <row r="91" spans="1:4">
      <c r="A91" t="s">
        <v>30</v>
      </c>
      <c r="B91" s="1">
        <v>45824</v>
      </c>
      <c r="C91" s="45">
        <f>IF(LEFT(A91,1)="S","",VLOOKUP(B91,'Your &amp; cons term structure'!$AC$4:$AE$734,3)-$C$4)</f>
        <v>4.3299999999999998E-2</v>
      </c>
      <c r="D91">
        <f t="shared" ref="D91" si="20">D88*(1+C88*3/360)</f>
        <v>1.0084540395409638</v>
      </c>
    </row>
    <row r="92" spans="1:4">
      <c r="A92" t="s">
        <v>31</v>
      </c>
      <c r="B92" s="1">
        <v>45825</v>
      </c>
      <c r="C92" s="45">
        <f>IF(LEFT(A92,1)="S","",VLOOKUP(B92,'Your &amp; cons term structure'!$AC$4:$AE$734,3)-$C$4)</f>
        <v>4.3299999999999998E-2</v>
      </c>
      <c r="D92">
        <f t="shared" ref="D92" si="21">D91*(1+C91*1/360)</f>
        <v>1.0085753341518309</v>
      </c>
    </row>
    <row r="93" spans="1:4">
      <c r="A93" t="s">
        <v>32</v>
      </c>
      <c r="B93" s="1">
        <v>45826</v>
      </c>
      <c r="C93" s="45">
        <f>IF(LEFT(A93,1)="S","",VLOOKUP(B93,'Your &amp; cons term structure'!$AC$4:$AE$734,3)-$C$4)</f>
        <v>4.3299999999999998E-2</v>
      </c>
      <c r="D93">
        <f t="shared" si="19"/>
        <v>1.0086966433517441</v>
      </c>
    </row>
    <row r="94" spans="1:4">
      <c r="A94" t="s">
        <v>33</v>
      </c>
      <c r="B94" s="1">
        <v>45827</v>
      </c>
      <c r="C94" s="45">
        <f>IF(LEFT(A94,1)="S","",VLOOKUP(B94,'Your &amp; cons term structure'!$AC$4:$AE$734,3)-$C$4)</f>
        <v>4.3299999999999998E-2</v>
      </c>
      <c r="D94">
        <f t="shared" si="19"/>
        <v>1.0088179671424584</v>
      </c>
    </row>
    <row r="95" spans="1:4">
      <c r="A95" t="s">
        <v>34</v>
      </c>
      <c r="B95" s="1">
        <v>45828</v>
      </c>
      <c r="C95" s="45">
        <f>IF(LEFT(A95,1)="S","",VLOOKUP(B95,'Your &amp; cons term structure'!$AC$4:$AE$734,3)-$C$4)</f>
        <v>4.3299999999999998E-2</v>
      </c>
      <c r="D95">
        <f t="shared" si="19"/>
        <v>1.0089393055257285</v>
      </c>
    </row>
    <row r="96" spans="1:4">
      <c r="A96" t="s">
        <v>35</v>
      </c>
      <c r="B96" s="1">
        <v>45829</v>
      </c>
      <c r="C96" s="45" t="str">
        <f>IF(LEFT(A96,1)="S","",VLOOKUP(B96,'Your &amp; cons term structure'!$AC$4:$AE$734,3)-$C$4)</f>
        <v/>
      </c>
    </row>
    <row r="97" spans="1:4">
      <c r="A97" t="s">
        <v>36</v>
      </c>
      <c r="B97" s="1">
        <v>45830</v>
      </c>
      <c r="C97" s="45" t="str">
        <f>IF(LEFT(A97,1)="S","",VLOOKUP(B97,'Your &amp; cons term structure'!$AC$4:$AE$734,3)-$C$4)</f>
        <v/>
      </c>
    </row>
    <row r="98" spans="1:4">
      <c r="A98" t="s">
        <v>30</v>
      </c>
      <c r="B98" s="1">
        <v>45831</v>
      </c>
      <c r="C98" s="45">
        <f>IF(LEFT(A98,1)="S","",VLOOKUP(B98,'Your &amp; cons term structure'!$AC$4:$AE$734,3)-$C$4)</f>
        <v>4.3299999999999998E-2</v>
      </c>
      <c r="D98">
        <f t="shared" ref="D98" si="22">D95*(1+C95*3/360)</f>
        <v>1.0093033644584724</v>
      </c>
    </row>
    <row r="99" spans="1:4">
      <c r="A99" t="s">
        <v>31</v>
      </c>
      <c r="B99" s="1">
        <v>45832</v>
      </c>
      <c r="C99" s="45">
        <f>IF(LEFT(A99,1)="S","",VLOOKUP(B99,'Your &amp; cons term structure'!$AC$4:$AE$734,3)-$C$4)</f>
        <v>4.3299999999999998E-2</v>
      </c>
      <c r="D99">
        <f t="shared" ref="D99" si="23">D98*(1+C98*1/360)</f>
        <v>1.0094247612242531</v>
      </c>
    </row>
    <row r="100" spans="1:4">
      <c r="A100" t="s">
        <v>32</v>
      </c>
      <c r="B100" s="1">
        <v>45833</v>
      </c>
      <c r="C100" s="45">
        <f>IF(LEFT(A100,1)="S","",VLOOKUP(B100,'Your &amp; cons term structure'!$AC$4:$AE$734,3)-$C$4)</f>
        <v>4.3299999999999998E-2</v>
      </c>
      <c r="D100">
        <f t="shared" si="19"/>
        <v>1.009546172591367</v>
      </c>
    </row>
    <row r="101" spans="1:4">
      <c r="A101" t="s">
        <v>33</v>
      </c>
      <c r="B101" s="1">
        <v>45834</v>
      </c>
      <c r="C101" s="45">
        <f>IF(LEFT(A101,1)="S","",VLOOKUP(B101,'Your &amp; cons term structure'!$AC$4:$AE$734,3)-$C$4)</f>
        <v>4.3299999999999998E-2</v>
      </c>
      <c r="D101">
        <f t="shared" si="19"/>
        <v>1.0096675985615704</v>
      </c>
    </row>
    <row r="102" spans="1:4">
      <c r="A102" t="s">
        <v>34</v>
      </c>
      <c r="B102" s="1">
        <v>45835</v>
      </c>
      <c r="C102" s="45">
        <f>IF(LEFT(A102,1)="S","",VLOOKUP(B102,'Your &amp; cons term structure'!$AC$4:$AE$734,3)-$C$4)</f>
        <v>4.3299999999999998E-2</v>
      </c>
      <c r="D102">
        <f t="shared" si="19"/>
        <v>1.0097890391366195</v>
      </c>
    </row>
    <row r="103" spans="1:4">
      <c r="A103" t="s">
        <v>35</v>
      </c>
      <c r="B103" s="1">
        <v>45836</v>
      </c>
      <c r="C103" s="45" t="str">
        <f>IF(LEFT(A103,1)="S","",VLOOKUP(B103,'Your &amp; cons term structure'!$AC$4:$AE$734,3)-$C$4)</f>
        <v/>
      </c>
    </row>
    <row r="104" spans="1:4">
      <c r="A104" t="s">
        <v>36</v>
      </c>
      <c r="B104" s="1">
        <v>45837</v>
      </c>
      <c r="C104" s="45" t="str">
        <f>IF(LEFT(A104,1)="S","",VLOOKUP(B104,'Your &amp; cons term structure'!$AC$4:$AE$734,3)-$C$4)</f>
        <v/>
      </c>
    </row>
    <row r="105" spans="1:4">
      <c r="A105" t="s">
        <v>30</v>
      </c>
      <c r="B105" s="1">
        <v>45838</v>
      </c>
      <c r="C105" s="45">
        <f>IF(LEFT(A105,1)="S","",VLOOKUP(B105,'Your &amp; cons term structure'!$AC$4:$AE$734,3)-$C$4)</f>
        <v>4.3299999999999998E-2</v>
      </c>
      <c r="D105">
        <f t="shared" ref="D105" si="24">D102*(1+C102*3/360)</f>
        <v>1.0101534046815748</v>
      </c>
    </row>
    <row r="106" spans="1:4">
      <c r="A106" t="s">
        <v>31</v>
      </c>
      <c r="B106" s="1">
        <v>45839</v>
      </c>
      <c r="C106" s="45">
        <f>IF(LEFT(A106,1)="S","",VLOOKUP(B106,'Your &amp; cons term structure'!$AC$4:$AE$734,3)-$C$4)</f>
        <v>4.3299999999999998E-2</v>
      </c>
      <c r="D106">
        <f t="shared" ref="D106" si="25">D105*(1+C105*1/360)</f>
        <v>1.0102749036883045</v>
      </c>
    </row>
    <row r="107" spans="1:4">
      <c r="A107" t="s">
        <v>32</v>
      </c>
      <c r="B107" s="1">
        <v>45840</v>
      </c>
      <c r="C107" s="45">
        <f>IF(LEFT(A107,1)="S","",VLOOKUP(B107,'Your &amp; cons term structure'!$AC$4:$AE$734,3)-$C$4)</f>
        <v>4.3299999999999998E-2</v>
      </c>
      <c r="D107">
        <f t="shared" si="19"/>
        <v>1.0103964173086648</v>
      </c>
    </row>
    <row r="108" spans="1:4">
      <c r="A108" t="s">
        <v>33</v>
      </c>
      <c r="B108" s="1">
        <v>45841</v>
      </c>
      <c r="C108" s="45">
        <f>IF(LEFT(A108,1)="S","",VLOOKUP(B108,'Your &amp; cons term structure'!$AC$4:$AE$734,3)-$C$4)</f>
        <v>4.3299999999999998E-2</v>
      </c>
      <c r="D108">
        <f t="shared" si="19"/>
        <v>1.0105179455444133</v>
      </c>
    </row>
    <row r="109" spans="1:4">
      <c r="A109" t="s">
        <v>34</v>
      </c>
      <c r="B109" s="1">
        <v>45842</v>
      </c>
      <c r="C109" s="45">
        <f>IF(LEFT(A109,1)="S","",VLOOKUP(B109,'Your &amp; cons term structure'!$AC$4:$AE$734,3)-$C$4)</f>
        <v>4.3299999999999998E-2</v>
      </c>
      <c r="D109">
        <f t="shared" si="19"/>
        <v>1.010639488397308</v>
      </c>
    </row>
    <row r="110" spans="1:4">
      <c r="A110" t="s">
        <v>35</v>
      </c>
      <c r="B110" s="1">
        <v>45843</v>
      </c>
      <c r="C110" s="45" t="str">
        <f>IF(LEFT(A110,1)="S","",VLOOKUP(B110,'Your &amp; cons term structure'!$AC$4:$AE$734,3)-$C$4)</f>
        <v/>
      </c>
    </row>
    <row r="111" spans="1:4">
      <c r="A111" t="s">
        <v>36</v>
      </c>
      <c r="B111" s="1">
        <v>45844</v>
      </c>
      <c r="C111" s="45" t="str">
        <f>IF(LEFT(A111,1)="S","",VLOOKUP(B111,'Your &amp; cons term structure'!$AC$4:$AE$734,3)-$C$4)</f>
        <v/>
      </c>
    </row>
    <row r="112" spans="1:4">
      <c r="A112" t="s">
        <v>30</v>
      </c>
      <c r="B112" s="1">
        <v>45845</v>
      </c>
      <c r="C112" s="45"/>
      <c r="D112">
        <f>D109*(1+C109*3/360)</f>
        <v>1.0110041608127047</v>
      </c>
    </row>
    <row r="113" spans="2:3">
      <c r="B113" s="1"/>
    </row>
    <row r="114" spans="2:3">
      <c r="B114" s="39" t="s">
        <v>43</v>
      </c>
      <c r="C114" s="40"/>
    </row>
    <row r="115" spans="2:3">
      <c r="B115" s="252" t="s">
        <v>44</v>
      </c>
      <c r="C115" s="28"/>
    </row>
    <row r="116" spans="2:3">
      <c r="B116" s="1"/>
    </row>
    <row r="117" spans="2:3">
      <c r="B117" s="1"/>
    </row>
    <row r="118" spans="2:3">
      <c r="B118" s="1"/>
    </row>
    <row r="119" spans="2:3">
      <c r="B119" s="1"/>
    </row>
    <row r="120" spans="2:3">
      <c r="B120" s="1"/>
    </row>
    <row r="121" spans="2:3">
      <c r="B121" s="1"/>
    </row>
    <row r="122" spans="2:3">
      <c r="B122" s="1"/>
    </row>
    <row r="123" spans="2:3">
      <c r="B123" s="1"/>
    </row>
    <row r="124" spans="2:3">
      <c r="B124" s="1"/>
    </row>
    <row r="125" spans="2:3">
      <c r="B125" s="1"/>
    </row>
    <row r="126" spans="2:3">
      <c r="B126" s="1"/>
    </row>
    <row r="127" spans="2:3">
      <c r="B127" s="1"/>
    </row>
    <row r="128" spans="2:3">
      <c r="B128" s="1"/>
    </row>
    <row r="129" spans="2:2">
      <c r="B129" s="1"/>
    </row>
    <row r="130" spans="2:2">
      <c r="B130" s="1"/>
    </row>
    <row r="131" spans="2:2">
      <c r="B131" s="1"/>
    </row>
    <row r="132" spans="2:2">
      <c r="B132" s="1"/>
    </row>
    <row r="133" spans="2:2">
      <c r="B133" s="1"/>
    </row>
  </sheetData>
  <phoneticPr fontId="3" type="noConversion"/>
  <conditionalFormatting sqref="C21:C112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5B4E2-1217-462C-824C-11C5EFD2C3F8}">
  <sheetPr>
    <tabColor rgb="FFFFFF00"/>
  </sheetPr>
  <dimension ref="A2:AE734"/>
  <sheetViews>
    <sheetView zoomScale="55" zoomScaleNormal="55" workbookViewId="0">
      <selection activeCell="L4" sqref="L4"/>
    </sheetView>
  </sheetViews>
  <sheetFormatPr defaultRowHeight="28.5"/>
  <cols>
    <col min="1" max="1" width="10.59765625" bestFit="1" customWidth="1"/>
    <col min="2" max="2" width="10.19921875" bestFit="1" customWidth="1"/>
    <col min="3" max="3" width="15.33203125" bestFit="1" customWidth="1"/>
    <col min="4" max="4" width="26.46484375" customWidth="1"/>
    <col min="8" max="8" width="10.19921875" bestFit="1" customWidth="1"/>
    <col min="9" max="9" width="16.19921875" bestFit="1" customWidth="1"/>
    <col min="11" max="11" width="18" bestFit="1" customWidth="1"/>
    <col min="12" max="12" width="19" bestFit="1" customWidth="1"/>
    <col min="29" max="29" width="10.19921875" bestFit="1" customWidth="1"/>
    <col min="31" max="31" width="15.33203125" bestFit="1" customWidth="1"/>
  </cols>
  <sheetData>
    <row r="2" spans="1:31">
      <c r="G2" s="22" t="s">
        <v>21</v>
      </c>
      <c r="H2" s="1">
        <f>B4</f>
        <v>45754</v>
      </c>
      <c r="K2" s="19" t="s">
        <v>45</v>
      </c>
      <c r="Z2">
        <v>1</v>
      </c>
      <c r="AA2" t="s">
        <v>30</v>
      </c>
    </row>
    <row r="3" spans="1:31">
      <c r="A3" s="19" t="s">
        <v>40</v>
      </c>
      <c r="B3" s="19" t="s">
        <v>41</v>
      </c>
      <c r="C3" s="19" t="s">
        <v>42</v>
      </c>
      <c r="D3" s="19" t="s">
        <v>46</v>
      </c>
      <c r="E3" s="19" t="s">
        <v>47</v>
      </c>
      <c r="G3" s="8" t="s">
        <v>48</v>
      </c>
      <c r="H3" s="8" t="s">
        <v>41</v>
      </c>
      <c r="I3" s="8" t="s">
        <v>49</v>
      </c>
      <c r="J3" s="8" t="s">
        <v>50</v>
      </c>
      <c r="K3" s="30" t="s">
        <v>51</v>
      </c>
      <c r="L3" s="8" t="s">
        <v>52</v>
      </c>
      <c r="M3" s="8" t="s">
        <v>53</v>
      </c>
      <c r="Z3">
        <v>2</v>
      </c>
      <c r="AA3" t="s">
        <v>31</v>
      </c>
      <c r="AC3" t="s">
        <v>41</v>
      </c>
      <c r="AD3" t="s">
        <v>54</v>
      </c>
      <c r="AE3" t="s">
        <v>55</v>
      </c>
    </row>
    <row r="4" spans="1:31">
      <c r="A4" t="str">
        <f>VLOOKUP(WEEKDAY(B4,2),$Z$2:$AA$8,2)</f>
        <v>Monday</v>
      </c>
      <c r="B4" s="1">
        <f>'FOMC exp '!C6</f>
        <v>45754</v>
      </c>
      <c r="C4" s="45">
        <f>IF(LEFT(A4,1)="S","",VLOOKUP(B4,$AC$4:$AE$734,3)-'Quoting term rates'!$C$4)</f>
        <v>4.3299999999999998E-2</v>
      </c>
      <c r="D4">
        <v>1</v>
      </c>
      <c r="G4" s="19" t="s">
        <v>56</v>
      </c>
      <c r="H4" s="31">
        <f>$H$2+7</f>
        <v>45761</v>
      </c>
      <c r="I4" s="4">
        <f>WEEKDAY(H4,2)</f>
        <v>1</v>
      </c>
      <c r="J4" s="4">
        <f>H4-$H$2</f>
        <v>7</v>
      </c>
      <c r="K4" s="23">
        <f>VLOOKUP(H4,$B$4:$E$708,4)</f>
        <v>4.3313394040292205E-2</v>
      </c>
      <c r="L4" s="260">
        <f>K4</f>
        <v>4.3313394040292205E-2</v>
      </c>
      <c r="N4" s="46"/>
      <c r="Z4">
        <v>3</v>
      </c>
      <c r="AA4" t="s">
        <v>32</v>
      </c>
      <c r="AC4" s="1">
        <f>B4</f>
        <v>45754</v>
      </c>
      <c r="AD4">
        <v>1</v>
      </c>
      <c r="AE4" s="18" cm="1">
        <f t="array" ref="AE4">INDEX('FOMC exp '!$C$6:$D$23,AD4,2)</f>
        <v>4.4999999999999998E-2</v>
      </c>
    </row>
    <row r="5" spans="1:31">
      <c r="A5" t="str">
        <f t="shared" ref="A5:A68" si="0">VLOOKUP(WEEKDAY(B5,2),$Z$2:$AA$8,2)</f>
        <v>Tuesday</v>
      </c>
      <c r="B5" s="1">
        <f>B4+1</f>
        <v>45755</v>
      </c>
      <c r="C5" s="45">
        <f>IF(LEFT(A5,1)="S","",VLOOKUP(B5,$AC$4:$AE$734,3)-'Quoting term rates'!$C$4)</f>
        <v>4.3299999999999998E-2</v>
      </c>
      <c r="D5">
        <f>D4*(1+C4*1/360)</f>
        <v>1.0001202777777778</v>
      </c>
      <c r="G5" s="19" t="s">
        <v>57</v>
      </c>
      <c r="H5" s="31">
        <f>EDATE($H$2,LEFT(G5,1))</f>
        <v>45784</v>
      </c>
      <c r="I5" s="4">
        <f t="shared" ref="I5:I9" si="1">WEEKDAY(H5,2)</f>
        <v>3</v>
      </c>
      <c r="J5" s="4">
        <f t="shared" ref="J5:J9" si="2">H5-$H$2</f>
        <v>30</v>
      </c>
      <c r="K5" s="23">
        <f t="shared" ref="K5:K9" si="3">VLOOKUP(H5,$B$4:$E$708,4)</f>
        <v>4.3373511175217594E-2</v>
      </c>
      <c r="L5" s="260">
        <f t="shared" ref="L5:L9" si="4">K5</f>
        <v>4.3373511175217594E-2</v>
      </c>
      <c r="N5" s="46"/>
      <c r="Z5">
        <v>4</v>
      </c>
      <c r="AA5" t="s">
        <v>33</v>
      </c>
      <c r="AC5" s="1">
        <f t="shared" ref="AC5:AC68" si="5">B5</f>
        <v>45755</v>
      </c>
      <c r="AD5">
        <f>IF(VLOOKUP(AC5,'FOMC exp '!$C$6:$C$22,1)=AC5,MATCH(AC5,'FOMC exp '!$C$6:$C$22,1),AD4)</f>
        <v>1</v>
      </c>
      <c r="AE5" s="18" cm="1">
        <f t="array" ref="AE5">INDEX('FOMC exp '!$C$6:$D$23,AD5,2)</f>
        <v>4.4999999999999998E-2</v>
      </c>
    </row>
    <row r="6" spans="1:31">
      <c r="A6" t="str">
        <f t="shared" si="0"/>
        <v>Wednesday</v>
      </c>
      <c r="B6" s="1">
        <f t="shared" ref="B6:B69" si="6">B5+1</f>
        <v>45756</v>
      </c>
      <c r="C6" s="45">
        <f>IF(LEFT(A6,1)="S","",VLOOKUP(B6,$AC$4:$AE$734,3)-'Quoting term rates'!$C$4)</f>
        <v>4.3299999999999998E-2</v>
      </c>
      <c r="D6">
        <f t="shared" ref="D6:D69" si="7">D5*(1+C5*1/360)</f>
        <v>1.0002405700222994</v>
      </c>
      <c r="E6" s="45"/>
      <c r="G6" s="19" t="s">
        <v>58</v>
      </c>
      <c r="H6" s="31">
        <f>EDATE($H$2,LEFT(G6,1))</f>
        <v>45845</v>
      </c>
      <c r="I6" s="4">
        <f t="shared" si="1"/>
        <v>1</v>
      </c>
      <c r="J6" s="4">
        <f t="shared" si="2"/>
        <v>91</v>
      </c>
      <c r="K6" s="23">
        <f t="shared" si="3"/>
        <v>4.3532943874436264E-2</v>
      </c>
      <c r="L6" s="260">
        <f t="shared" si="4"/>
        <v>4.3532943874436264E-2</v>
      </c>
      <c r="N6" s="46"/>
      <c r="Z6">
        <v>5</v>
      </c>
      <c r="AA6" t="s">
        <v>34</v>
      </c>
      <c r="AC6" s="1">
        <f t="shared" si="5"/>
        <v>45756</v>
      </c>
      <c r="AD6">
        <f>IF(VLOOKUP(AC6,'FOMC exp '!$C$6:$C$22,1)=AC6,MATCH(AC6,'FOMC exp '!$C$6:$C$22,1),AD5)</f>
        <v>1</v>
      </c>
      <c r="AE6" s="18" cm="1">
        <f t="array" ref="AE6">INDEX('FOMC exp '!$C$6:$D$23,AD6,2)</f>
        <v>4.4999999999999998E-2</v>
      </c>
    </row>
    <row r="7" spans="1:31">
      <c r="A7" t="str">
        <f t="shared" si="0"/>
        <v>Thursday</v>
      </c>
      <c r="B7" s="1">
        <f t="shared" si="6"/>
        <v>45757</v>
      </c>
      <c r="C7" s="45">
        <f>IF(LEFT(A7,1)="S","",VLOOKUP(B7,$AC$4:$AE$734,3)-'Quoting term rates'!$C$4)</f>
        <v>4.3299999999999998E-2</v>
      </c>
      <c r="D7">
        <f t="shared" si="7"/>
        <v>1.0003608767353049</v>
      </c>
      <c r="G7" s="19" t="s">
        <v>59</v>
      </c>
      <c r="H7" s="31">
        <f>EDATE($H$2,LEFT(G7,1))</f>
        <v>45937</v>
      </c>
      <c r="I7" s="4">
        <f t="shared" si="1"/>
        <v>2</v>
      </c>
      <c r="J7" s="4">
        <f t="shared" si="2"/>
        <v>183</v>
      </c>
      <c r="K7" s="23">
        <f t="shared" si="3"/>
        <v>4.3775119937745598E-2</v>
      </c>
      <c r="L7" s="260">
        <f t="shared" si="4"/>
        <v>4.3775119937745598E-2</v>
      </c>
      <c r="N7" s="46"/>
      <c r="Z7">
        <v>6</v>
      </c>
      <c r="AA7" t="s">
        <v>35</v>
      </c>
      <c r="AC7" s="1">
        <f t="shared" si="5"/>
        <v>45757</v>
      </c>
      <c r="AD7">
        <f>IF(VLOOKUP(AC7,'FOMC exp '!$C$6:$C$22,1)=AC7,MATCH(AC7,'FOMC exp '!$C$6:$C$22,1),AD6)</f>
        <v>1</v>
      </c>
      <c r="AE7" s="18" cm="1">
        <f t="array" ref="AE7">INDEX('FOMC exp '!$C$6:$D$23,AD7,2)</f>
        <v>4.4999999999999998E-2</v>
      </c>
    </row>
    <row r="8" spans="1:31">
      <c r="A8" t="str">
        <f t="shared" si="0"/>
        <v>Friday</v>
      </c>
      <c r="B8" s="1">
        <f t="shared" si="6"/>
        <v>45758</v>
      </c>
      <c r="C8" s="45">
        <f>IF(LEFT(A8,1)="S","",VLOOKUP(B8,$AC$4:$AE$734,3)-'Quoting term rates'!$C$4)</f>
        <v>4.3299999999999998E-2</v>
      </c>
      <c r="D8">
        <f t="shared" si="7"/>
        <v>1.0004811979185344</v>
      </c>
      <c r="G8" s="19" t="s">
        <v>60</v>
      </c>
      <c r="H8" s="31">
        <f>EDATE($H$2,LEFT(G8,2))</f>
        <v>46119</v>
      </c>
      <c r="I8" s="4">
        <f t="shared" si="1"/>
        <v>2</v>
      </c>
      <c r="J8" s="4">
        <f t="shared" si="2"/>
        <v>365</v>
      </c>
      <c r="K8" s="23">
        <f t="shared" si="3"/>
        <v>4.4259482289524636E-2</v>
      </c>
      <c r="L8" s="260">
        <f t="shared" si="4"/>
        <v>4.4259482289524636E-2</v>
      </c>
      <c r="N8" s="46"/>
      <c r="Z8">
        <v>7</v>
      </c>
      <c r="AA8" t="s">
        <v>36</v>
      </c>
      <c r="AC8" s="1">
        <f t="shared" si="5"/>
        <v>45758</v>
      </c>
      <c r="AD8">
        <f>IF(VLOOKUP(AC8,'FOMC exp '!$C$6:$C$22,1)=AC8,MATCH(AC8,'FOMC exp '!$C$6:$C$22,1),AD7)</f>
        <v>1</v>
      </c>
      <c r="AE8" s="18" cm="1">
        <f t="array" ref="AE8">INDEX('FOMC exp '!$C$6:$D$23,AD8,2)</f>
        <v>4.4999999999999998E-2</v>
      </c>
    </row>
    <row r="9" spans="1:31">
      <c r="A9" t="str">
        <f t="shared" si="0"/>
        <v>Saturday</v>
      </c>
      <c r="B9" s="1">
        <f t="shared" si="6"/>
        <v>45759</v>
      </c>
      <c r="C9" s="45" t="str">
        <f>IF(LEFT(A9,1)="S","",VLOOKUP(B9,$AC$4:$AE$734,3)-'Quoting term rates'!$C$4)</f>
        <v/>
      </c>
      <c r="G9" s="19" t="s">
        <v>61</v>
      </c>
      <c r="H9" s="31">
        <f>EDATE($H$2,24)</f>
        <v>46484</v>
      </c>
      <c r="I9" s="4">
        <f t="shared" si="1"/>
        <v>3</v>
      </c>
      <c r="J9" s="4">
        <f t="shared" si="2"/>
        <v>730</v>
      </c>
      <c r="K9" s="23">
        <f t="shared" si="3"/>
        <v>4.5180834547453412E-2</v>
      </c>
      <c r="L9" s="260">
        <f t="shared" si="4"/>
        <v>4.5180834547453412E-2</v>
      </c>
      <c r="N9" s="46"/>
      <c r="AC9" s="1">
        <f t="shared" si="5"/>
        <v>45759</v>
      </c>
      <c r="AD9">
        <f>IF(VLOOKUP(AC9,'FOMC exp '!$C$6:$C$22,1)=AC9,MATCH(AC9,'FOMC exp '!$C$6:$C$22,1),AD8)</f>
        <v>1</v>
      </c>
      <c r="AE9" s="18" cm="1">
        <f t="array" ref="AE9">INDEX('FOMC exp '!$C$6:$D$23,AD9,2)</f>
        <v>4.4999999999999998E-2</v>
      </c>
    </row>
    <row r="10" spans="1:31">
      <c r="A10" t="str">
        <f t="shared" si="0"/>
        <v>Sunday</v>
      </c>
      <c r="B10" s="1">
        <f t="shared" si="6"/>
        <v>45760</v>
      </c>
      <c r="C10" s="45" t="str">
        <f>IF(LEFT(A10,1)="S","",VLOOKUP(B10,$AC$4:$AE$734,3)-'Quoting term rates'!$C$4)</f>
        <v/>
      </c>
      <c r="AC10" s="1">
        <f t="shared" si="5"/>
        <v>45760</v>
      </c>
      <c r="AD10">
        <f>IF(VLOOKUP(AC10,'FOMC exp '!$C$6:$C$22,1)=AC10,MATCH(AC10,'FOMC exp '!$C$6:$C$22,1),AD9)</f>
        <v>1</v>
      </c>
      <c r="AE10" s="18" cm="1">
        <f t="array" ref="AE10">INDEX('FOMC exp '!$C$6:$D$23,AD10,2)</f>
        <v>4.4999999999999998E-2</v>
      </c>
    </row>
    <row r="11" spans="1:31">
      <c r="A11" t="str">
        <f t="shared" si="0"/>
        <v>Monday</v>
      </c>
      <c r="B11" s="1">
        <f t="shared" si="6"/>
        <v>45761</v>
      </c>
      <c r="C11" s="45">
        <f>IF(LEFT(A11,1)="S","",VLOOKUP(B11,$AC$4:$AE$734,3)-'Quoting term rates'!$C$4)</f>
        <v>4.3299999999999998E-2</v>
      </c>
      <c r="D11">
        <f>D8*(1+C8*3/360)</f>
        <v>1.0008422048841168</v>
      </c>
      <c r="E11" s="45">
        <f>IF((D11-1)*360/(B11-$B$4)&lt;0,"",(D11-1)*360/(B11-$B$4))</f>
        <v>4.3313394040292205E-2</v>
      </c>
      <c r="AC11" s="1">
        <f t="shared" si="5"/>
        <v>45761</v>
      </c>
      <c r="AD11">
        <f>IF(VLOOKUP(AC11,'FOMC exp '!$C$6:$C$22,1)=AC11,MATCH(AC11,'FOMC exp '!$C$6:$C$22,1),AD10)</f>
        <v>1</v>
      </c>
      <c r="AE11" s="18" cm="1">
        <f t="array" ref="AE11">INDEX('FOMC exp '!$C$6:$D$23,AD11,2)</f>
        <v>4.4999999999999998E-2</v>
      </c>
    </row>
    <row r="12" spans="1:31">
      <c r="A12" t="str">
        <f t="shared" si="0"/>
        <v>Tuesday</v>
      </c>
      <c r="B12" s="1">
        <f t="shared" si="6"/>
        <v>45762</v>
      </c>
      <c r="C12" s="45">
        <f>IF(LEFT(A12,1)="S","",VLOOKUP(B12,$AC$4:$AE$734,3)-'Quoting term rates'!$C$4)</f>
        <v>4.3299999999999998E-2</v>
      </c>
      <c r="D12">
        <f t="shared" ref="D12" si="8">D11*(1+C11*1/360)</f>
        <v>1.0009625839604264</v>
      </c>
      <c r="E12" s="45">
        <f t="shared" ref="E12:E75" si="9">IF((D12-1)*360/(B12-$B$4)&lt;0,"",(D12-1)*360/(B12-$B$4))</f>
        <v>4.3316278219186488E-2</v>
      </c>
      <c r="AC12" s="1">
        <f t="shared" si="5"/>
        <v>45762</v>
      </c>
      <c r="AD12">
        <f>IF(VLOOKUP(AC12,'FOMC exp '!$C$6:$C$22,1)=AC12,MATCH(AC12,'FOMC exp '!$C$6:$C$22,1),AD11)</f>
        <v>1</v>
      </c>
      <c r="AE12" s="18" cm="1">
        <f t="array" ref="AE12">INDEX('FOMC exp '!$C$6:$D$23,AD12,2)</f>
        <v>4.4999999999999998E-2</v>
      </c>
    </row>
    <row r="13" spans="1:31">
      <c r="A13" t="str">
        <f t="shared" si="0"/>
        <v>Wednesday</v>
      </c>
      <c r="B13" s="1">
        <f t="shared" si="6"/>
        <v>45763</v>
      </c>
      <c r="C13" s="45">
        <f>IF(LEFT(A13,1)="S","",VLOOKUP(B13,$AC$4:$AE$734,3)-'Quoting term rates'!$C$4)</f>
        <v>4.3299999999999998E-2</v>
      </c>
      <c r="D13">
        <f t="shared" si="7"/>
        <v>1.0010829775156638</v>
      </c>
      <c r="E13" s="45">
        <f t="shared" si="9"/>
        <v>4.3319100626550977E-2</v>
      </c>
      <c r="AC13" s="1">
        <f t="shared" si="5"/>
        <v>45763</v>
      </c>
      <c r="AD13">
        <f>IF(VLOOKUP(AC13,'FOMC exp '!$C$6:$C$22,1)=AC13,MATCH(AC13,'FOMC exp '!$C$6:$C$22,1),AD12)</f>
        <v>1</v>
      </c>
      <c r="AE13" s="18" cm="1">
        <f t="array" ref="AE13">INDEX('FOMC exp '!$C$6:$D$23,AD13,2)</f>
        <v>4.4999999999999998E-2</v>
      </c>
    </row>
    <row r="14" spans="1:31">
      <c r="A14" t="str">
        <f t="shared" si="0"/>
        <v>Thursday</v>
      </c>
      <c r="B14" s="1">
        <f t="shared" si="6"/>
        <v>45764</v>
      </c>
      <c r="C14" s="45">
        <f>IF(LEFT(A14,1)="S","",VLOOKUP(B14,$AC$4:$AE$734,3)-'Quoting term rates'!$C$4)</f>
        <v>4.3299999999999998E-2</v>
      </c>
      <c r="D14">
        <f t="shared" si="7"/>
        <v>1.0012033855515705</v>
      </c>
      <c r="E14" s="45">
        <f t="shared" si="9"/>
        <v>4.3321879856538459E-2</v>
      </c>
      <c r="AC14" s="1">
        <f t="shared" si="5"/>
        <v>45764</v>
      </c>
      <c r="AD14">
        <f>IF(VLOOKUP(AC14,'FOMC exp '!$C$6:$C$22,1)=AC14,MATCH(AC14,'FOMC exp '!$C$6:$C$22,1),AD13)</f>
        <v>1</v>
      </c>
      <c r="AE14" s="18" cm="1">
        <f t="array" ref="AE14">INDEX('FOMC exp '!$C$6:$D$23,AD14,2)</f>
        <v>4.4999999999999998E-2</v>
      </c>
    </row>
    <row r="15" spans="1:31">
      <c r="A15" t="str">
        <f t="shared" si="0"/>
        <v>Friday</v>
      </c>
      <c r="B15" s="1">
        <f t="shared" si="6"/>
        <v>45765</v>
      </c>
      <c r="C15" s="45">
        <f>IF(LEFT(A15,1)="S","",VLOOKUP(B15,$AC$4:$AE$734,3)-'Quoting term rates'!$C$4)</f>
        <v>4.3299999999999998E-2</v>
      </c>
      <c r="D15">
        <f t="shared" si="7"/>
        <v>1.0013238080698883</v>
      </c>
      <c r="E15" s="45">
        <f t="shared" si="9"/>
        <v>4.3324627741798884E-2</v>
      </c>
      <c r="AC15" s="1">
        <f t="shared" si="5"/>
        <v>45765</v>
      </c>
      <c r="AD15">
        <f>IF(VLOOKUP(AC15,'FOMC exp '!$C$6:$C$22,1)=AC15,MATCH(AC15,'FOMC exp '!$C$6:$C$22,1),AD14)</f>
        <v>1</v>
      </c>
      <c r="AE15" s="18" cm="1">
        <f t="array" ref="AE15">INDEX('FOMC exp '!$C$6:$D$23,AD15,2)</f>
        <v>4.4999999999999998E-2</v>
      </c>
    </row>
    <row r="16" spans="1:31">
      <c r="A16" t="str">
        <f t="shared" si="0"/>
        <v>Saturday</v>
      </c>
      <c r="B16" s="1">
        <f t="shared" si="6"/>
        <v>45766</v>
      </c>
      <c r="C16" s="45" t="str">
        <f>IF(LEFT(A16,1)="S","",VLOOKUP(B16,$AC$4:$AE$734,3)-'Quoting term rates'!$C$4)</f>
        <v/>
      </c>
      <c r="E16" s="45" t="str">
        <f t="shared" si="9"/>
        <v/>
      </c>
      <c r="AC16" s="1">
        <f t="shared" si="5"/>
        <v>45766</v>
      </c>
      <c r="AD16">
        <f>IF(VLOOKUP(AC16,'FOMC exp '!$C$6:$C$22,1)=AC16,MATCH(AC16,'FOMC exp '!$C$6:$C$22,1),AD15)</f>
        <v>1</v>
      </c>
      <c r="AE16" s="18" cm="1">
        <f t="array" ref="AE16">INDEX('FOMC exp '!$C$6:$D$23,AD16,2)</f>
        <v>4.4999999999999998E-2</v>
      </c>
    </row>
    <row r="17" spans="1:31">
      <c r="A17" t="str">
        <f t="shared" si="0"/>
        <v>Sunday</v>
      </c>
      <c r="B17" s="1">
        <f t="shared" si="6"/>
        <v>45767</v>
      </c>
      <c r="C17" s="45" t="str">
        <f>IF(LEFT(A17,1)="S","",VLOOKUP(B17,$AC$4:$AE$734,3)-'Quoting term rates'!$C$4)</f>
        <v/>
      </c>
      <c r="E17" s="45" t="str">
        <f t="shared" si="9"/>
        <v/>
      </c>
      <c r="AC17" s="1">
        <f t="shared" si="5"/>
        <v>45767</v>
      </c>
      <c r="AD17">
        <f>IF(VLOOKUP(AC17,'FOMC exp '!$C$6:$C$22,1)=AC17,MATCH(AC17,'FOMC exp '!$C$6:$C$22,1),AD16)</f>
        <v>1</v>
      </c>
      <c r="AE17" s="18" cm="1">
        <f t="array" ref="AE17">INDEX('FOMC exp '!$C$6:$D$23,AD17,2)</f>
        <v>4.4999999999999998E-2</v>
      </c>
    </row>
    <row r="18" spans="1:31">
      <c r="A18" t="str">
        <f t="shared" si="0"/>
        <v>Monday</v>
      </c>
      <c r="B18" s="1">
        <f t="shared" si="6"/>
        <v>45768</v>
      </c>
      <c r="C18" s="45">
        <f>IF(LEFT(A18,1)="S","",VLOOKUP(B18,$AC$4:$AE$734,3)-'Quoting term rates'!$C$4)</f>
        <v>4.3299999999999998E-2</v>
      </c>
      <c r="D18">
        <f t="shared" ref="D18" si="10">D15*(1+C15*3/360)</f>
        <v>1.0016851190773002</v>
      </c>
      <c r="E18" s="45">
        <f t="shared" si="9"/>
        <v>4.3331633416290316E-2</v>
      </c>
      <c r="AC18" s="1">
        <f t="shared" si="5"/>
        <v>45768</v>
      </c>
      <c r="AD18">
        <f>IF(VLOOKUP(AC18,'FOMC exp '!$C$6:$C$22,1)=AC18,MATCH(AC18,'FOMC exp '!$C$6:$C$22,1),AD17)</f>
        <v>1</v>
      </c>
      <c r="AE18" s="18" cm="1">
        <f t="array" ref="AE18">INDEX('FOMC exp '!$C$6:$D$23,AD18,2)</f>
        <v>4.4999999999999998E-2</v>
      </c>
    </row>
    <row r="19" spans="1:31">
      <c r="A19" t="str">
        <f t="shared" si="0"/>
        <v>Tuesday</v>
      </c>
      <c r="B19" s="1">
        <f t="shared" si="6"/>
        <v>45769</v>
      </c>
      <c r="C19" s="45">
        <f>IF(LEFT(A19,1)="S","",VLOOKUP(B19,$AC$4:$AE$734,3)-'Quoting term rates'!$C$4)</f>
        <v>4.3299999999999998E-2</v>
      </c>
      <c r="D19">
        <f t="shared" ref="D19" si="11">D18*(1+C18*1/360)</f>
        <v>1.001805599537456</v>
      </c>
      <c r="E19" s="45">
        <f t="shared" si="9"/>
        <v>4.3334388898943033E-2</v>
      </c>
      <c r="AC19" s="1">
        <f t="shared" si="5"/>
        <v>45769</v>
      </c>
      <c r="AD19">
        <f>IF(VLOOKUP(AC19,'FOMC exp '!$C$6:$C$22,1)=AC19,MATCH(AC19,'FOMC exp '!$C$6:$C$22,1),AD18)</f>
        <v>1</v>
      </c>
      <c r="AE19" s="18" cm="1">
        <f t="array" ref="AE19">INDEX('FOMC exp '!$C$6:$D$23,AD19,2)</f>
        <v>4.4999999999999998E-2</v>
      </c>
    </row>
    <row r="20" spans="1:31">
      <c r="A20" t="str">
        <f t="shared" si="0"/>
        <v>Wednesday</v>
      </c>
      <c r="B20" s="1">
        <f t="shared" si="6"/>
        <v>45770</v>
      </c>
      <c r="C20" s="45">
        <f>IF(LEFT(A20,1)="S","",VLOOKUP(B20,$AC$4:$AE$734,3)-'Quoting term rates'!$C$4)</f>
        <v>4.3299999999999998E-2</v>
      </c>
      <c r="D20">
        <f t="shared" si="7"/>
        <v>1.0019260944887336</v>
      </c>
      <c r="E20" s="45">
        <f t="shared" si="9"/>
        <v>4.3337125996505965E-2</v>
      </c>
      <c r="AC20" s="1">
        <f t="shared" si="5"/>
        <v>45770</v>
      </c>
      <c r="AD20">
        <f>IF(VLOOKUP(AC20,'FOMC exp '!$C$6:$C$22,1)=AC20,MATCH(AC20,'FOMC exp '!$C$6:$C$22,1),AD19)</f>
        <v>1</v>
      </c>
      <c r="AE20" s="18" cm="1">
        <f t="array" ref="AE20">INDEX('FOMC exp '!$C$6:$D$23,AD20,2)</f>
        <v>4.4999999999999998E-2</v>
      </c>
    </row>
    <row r="21" spans="1:31">
      <c r="A21" t="str">
        <f t="shared" si="0"/>
        <v>Thursday</v>
      </c>
      <c r="B21" s="1">
        <f t="shared" si="6"/>
        <v>45771</v>
      </c>
      <c r="C21" s="45">
        <f>IF(LEFT(A21,1)="S","",VLOOKUP(B21,$AC$4:$AE$734,3)-'Quoting term rates'!$C$4)</f>
        <v>4.3299999999999998E-2</v>
      </c>
      <c r="D21">
        <f t="shared" si="7"/>
        <v>1.0020466039328764</v>
      </c>
      <c r="E21" s="45">
        <f t="shared" si="9"/>
        <v>4.3339847990323074E-2</v>
      </c>
      <c r="AC21" s="1">
        <f t="shared" si="5"/>
        <v>45771</v>
      </c>
      <c r="AD21">
        <f>IF(VLOOKUP(AC21,'FOMC exp '!$C$6:$C$22,1)=AC21,MATCH(AC21,'FOMC exp '!$C$6:$C$22,1),AD20)</f>
        <v>1</v>
      </c>
      <c r="AE21" s="18" cm="1">
        <f t="array" ref="AE21">INDEX('FOMC exp '!$C$6:$D$23,AD21,2)</f>
        <v>4.4999999999999998E-2</v>
      </c>
    </row>
    <row r="22" spans="1:31">
      <c r="A22" t="str">
        <f t="shared" si="0"/>
        <v>Friday</v>
      </c>
      <c r="B22" s="1">
        <f t="shared" si="6"/>
        <v>45772</v>
      </c>
      <c r="C22" s="45">
        <f>IF(LEFT(A22,1)="S","",VLOOKUP(B22,$AC$4:$AE$734,3)-'Quoting term rates'!$C$4)</f>
        <v>4.3299999999999998E-2</v>
      </c>
      <c r="D22">
        <f t="shared" si="7"/>
        <v>1.0021671278716271</v>
      </c>
      <c r="E22" s="45">
        <f t="shared" si="9"/>
        <v>4.3342557432541895E-2</v>
      </c>
      <c r="AC22" s="1">
        <f t="shared" si="5"/>
        <v>45772</v>
      </c>
      <c r="AD22">
        <f>IF(VLOOKUP(AC22,'FOMC exp '!$C$6:$C$22,1)=AC22,MATCH(AC22,'FOMC exp '!$C$6:$C$22,1),AD21)</f>
        <v>1</v>
      </c>
      <c r="AE22" s="18" cm="1">
        <f t="array" ref="AE22">INDEX('FOMC exp '!$C$6:$D$23,AD22,2)</f>
        <v>4.4999999999999998E-2</v>
      </c>
    </row>
    <row r="23" spans="1:31">
      <c r="A23" t="str">
        <f t="shared" si="0"/>
        <v>Saturday</v>
      </c>
      <c r="B23" s="1">
        <f t="shared" si="6"/>
        <v>45773</v>
      </c>
      <c r="C23" s="45" t="str">
        <f>IF(LEFT(A23,1)="S","",VLOOKUP(B23,$AC$4:$AE$734,3)-'Quoting term rates'!$C$4)</f>
        <v/>
      </c>
      <c r="E23" s="45" t="str">
        <f t="shared" si="9"/>
        <v/>
      </c>
      <c r="AC23" s="1">
        <f t="shared" si="5"/>
        <v>45773</v>
      </c>
      <c r="AD23">
        <f>IF(VLOOKUP(AC23,'FOMC exp '!$C$6:$C$22,1)=AC23,MATCH(AC23,'FOMC exp '!$C$6:$C$22,1),AD22)</f>
        <v>1</v>
      </c>
      <c r="AE23" s="18" cm="1">
        <f t="array" ref="AE23">INDEX('FOMC exp '!$C$6:$D$23,AD23,2)</f>
        <v>4.4999999999999998E-2</v>
      </c>
    </row>
    <row r="24" spans="1:31">
      <c r="A24" t="str">
        <f t="shared" si="0"/>
        <v>Sunday</v>
      </c>
      <c r="B24" s="1">
        <f t="shared" si="6"/>
        <v>45774</v>
      </c>
      <c r="C24" s="45" t="str">
        <f>IF(LEFT(A24,1)="S","",VLOOKUP(B24,$AC$4:$AE$734,3)-'Quoting term rates'!$C$4)</f>
        <v/>
      </c>
      <c r="E24" s="45" t="str">
        <f t="shared" si="9"/>
        <v/>
      </c>
      <c r="AC24" s="1">
        <f t="shared" si="5"/>
        <v>45774</v>
      </c>
      <c r="AD24">
        <f>IF(VLOOKUP(AC24,'FOMC exp '!$C$6:$C$22,1)=AC24,MATCH(AC24,'FOMC exp '!$C$6:$C$22,1),AD23)</f>
        <v>1</v>
      </c>
      <c r="AE24" s="18" cm="1">
        <f t="array" ref="AE24">INDEX('FOMC exp '!$C$6:$D$23,AD24,2)</f>
        <v>4.4999999999999998E-2</v>
      </c>
    </row>
    <row r="25" spans="1:31">
      <c r="A25" t="str">
        <f t="shared" si="0"/>
        <v>Monday</v>
      </c>
      <c r="B25" s="1">
        <f t="shared" si="6"/>
        <v>45775</v>
      </c>
      <c r="C25" s="45">
        <f>IF(LEFT(A25,1)="S","",VLOOKUP(B25,$AC$4:$AE$734,3)-'Quoting term rates'!$C$4)</f>
        <v>4.3299999999999998E-2</v>
      </c>
      <c r="D25">
        <f t="shared" ref="D25" si="12">D22*(1+C22*3/360)</f>
        <v>1.0025287431769341</v>
      </c>
      <c r="E25" s="45">
        <f t="shared" si="9"/>
        <v>4.334988303315563E-2</v>
      </c>
      <c r="AC25" s="1">
        <f t="shared" si="5"/>
        <v>45775</v>
      </c>
      <c r="AD25">
        <f>IF(VLOOKUP(AC25,'FOMC exp '!$C$6:$C$22,1)=AC25,MATCH(AC25,'FOMC exp '!$C$6:$C$22,1),AD24)</f>
        <v>1</v>
      </c>
      <c r="AE25" s="18" cm="1">
        <f t="array" ref="AE25">INDEX('FOMC exp '!$C$6:$D$23,AD25,2)</f>
        <v>4.4999999999999998E-2</v>
      </c>
    </row>
    <row r="26" spans="1:31">
      <c r="A26" t="str">
        <f t="shared" si="0"/>
        <v>Tuesday</v>
      </c>
      <c r="B26" s="1">
        <f t="shared" si="6"/>
        <v>45776</v>
      </c>
      <c r="C26" s="45">
        <f>IF(LEFT(A26,1)="S","",VLOOKUP(B26,$AC$4:$AE$734,3)-'Quoting term rates'!$C$4)</f>
        <v>4.3299999999999998E-2</v>
      </c>
      <c r="D26">
        <f t="shared" ref="D26" si="13">D25*(1+C25*1/360)</f>
        <v>1.0026493251063218</v>
      </c>
      <c r="E26" s="45">
        <f t="shared" si="9"/>
        <v>4.3352592648901608E-2</v>
      </c>
      <c r="AC26" s="1">
        <f t="shared" si="5"/>
        <v>45776</v>
      </c>
      <c r="AD26">
        <f>IF(VLOOKUP(AC26,'FOMC exp '!$C$6:$C$22,1)=AC26,MATCH(AC26,'FOMC exp '!$C$6:$C$22,1),AD25)</f>
        <v>1</v>
      </c>
      <c r="AE26" s="18" cm="1">
        <f t="array" ref="AE26">INDEX('FOMC exp '!$C$6:$D$23,AD26,2)</f>
        <v>4.4999999999999998E-2</v>
      </c>
    </row>
    <row r="27" spans="1:31">
      <c r="A27" t="str">
        <f t="shared" si="0"/>
        <v>Wednesday</v>
      </c>
      <c r="B27" s="1">
        <f t="shared" si="6"/>
        <v>45777</v>
      </c>
      <c r="C27" s="45">
        <f>IF(LEFT(A27,1)="S","",VLOOKUP(B27,$AC$4:$AE$734,3)-'Quoting term rates'!$C$4)</f>
        <v>4.3299999999999998E-2</v>
      </c>
      <c r="D27">
        <f t="shared" si="7"/>
        <v>1.002769921539036</v>
      </c>
      <c r="E27" s="45">
        <f t="shared" si="9"/>
        <v>4.3355293654476379E-2</v>
      </c>
      <c r="AC27" s="1">
        <f t="shared" si="5"/>
        <v>45777</v>
      </c>
      <c r="AD27">
        <f>IF(VLOOKUP(AC27,'FOMC exp '!$C$6:$C$22,1)=AC27,MATCH(AC27,'FOMC exp '!$C$6:$C$22,1),AD26)</f>
        <v>1</v>
      </c>
      <c r="AE27" s="18" cm="1">
        <f t="array" ref="AE27">INDEX('FOMC exp '!$C$6:$D$23,AD27,2)</f>
        <v>4.4999999999999998E-2</v>
      </c>
    </row>
    <row r="28" spans="1:31">
      <c r="A28" t="str">
        <f t="shared" si="0"/>
        <v>Thursday</v>
      </c>
      <c r="B28" s="1">
        <f t="shared" si="6"/>
        <v>45778</v>
      </c>
      <c r="C28" s="45">
        <f>IF(LEFT(A28,1)="S","",VLOOKUP(B28,$AC$4:$AE$734,3)-'Quoting term rates'!$C$4)</f>
        <v>4.3299999999999998E-2</v>
      </c>
      <c r="D28">
        <f t="shared" si="7"/>
        <v>1.0028905324768211</v>
      </c>
      <c r="E28" s="45">
        <f t="shared" si="9"/>
        <v>4.335798715231709E-2</v>
      </c>
      <c r="AC28" s="1">
        <f t="shared" si="5"/>
        <v>45778</v>
      </c>
      <c r="AD28">
        <f>IF(VLOOKUP(AC28,'FOMC exp '!$C$6:$C$22,1)=AC28,MATCH(AC28,'FOMC exp '!$C$6:$C$22,1),AD27)</f>
        <v>1</v>
      </c>
      <c r="AE28" s="18" cm="1">
        <f t="array" ref="AE28">INDEX('FOMC exp '!$C$6:$D$23,AD28,2)</f>
        <v>4.4999999999999998E-2</v>
      </c>
    </row>
    <row r="29" spans="1:31">
      <c r="A29" t="str">
        <f t="shared" si="0"/>
        <v>Friday</v>
      </c>
      <c r="B29" s="1">
        <f t="shared" si="6"/>
        <v>45779</v>
      </c>
      <c r="C29" s="45">
        <f>IF(LEFT(A29,1)="S","",VLOOKUP(B29,$AC$4:$AE$734,3)-'Quoting term rates'!$C$4)</f>
        <v>4.3299999999999998E-2</v>
      </c>
      <c r="D29">
        <f t="shared" si="7"/>
        <v>1.0030111579214218</v>
      </c>
      <c r="E29" s="45">
        <f t="shared" si="9"/>
        <v>4.3360674068474124E-2</v>
      </c>
      <c r="AC29" s="1">
        <f t="shared" si="5"/>
        <v>45779</v>
      </c>
      <c r="AD29">
        <f>IF(VLOOKUP(AC29,'FOMC exp '!$C$6:$C$22,1)=AC29,MATCH(AC29,'FOMC exp '!$C$6:$C$22,1),AD28)</f>
        <v>1</v>
      </c>
      <c r="AE29" s="18" cm="1">
        <f t="array" ref="AE29">INDEX('FOMC exp '!$C$6:$D$23,AD29,2)</f>
        <v>4.4999999999999998E-2</v>
      </c>
    </row>
    <row r="30" spans="1:31">
      <c r="A30" t="str">
        <f t="shared" si="0"/>
        <v>Saturday</v>
      </c>
      <c r="B30" s="1">
        <f t="shared" si="6"/>
        <v>45780</v>
      </c>
      <c r="C30" s="45" t="str">
        <f>IF(LEFT(A30,1)="S","",VLOOKUP(B30,$AC$4:$AE$734,3)-'Quoting term rates'!$C$4)</f>
        <v/>
      </c>
      <c r="E30" s="45" t="str">
        <f t="shared" si="9"/>
        <v/>
      </c>
      <c r="AC30" s="1">
        <f t="shared" si="5"/>
        <v>45780</v>
      </c>
      <c r="AD30">
        <f>IF(VLOOKUP(AC30,'FOMC exp '!$C$6:$C$22,1)=AC30,MATCH(AC30,'FOMC exp '!$C$6:$C$22,1),AD29)</f>
        <v>1</v>
      </c>
      <c r="AE30" s="18" cm="1">
        <f t="array" ref="AE30">INDEX('FOMC exp '!$C$6:$D$23,AD30,2)</f>
        <v>4.4999999999999998E-2</v>
      </c>
    </row>
    <row r="31" spans="1:31">
      <c r="A31" t="str">
        <f t="shared" si="0"/>
        <v>Sunday</v>
      </c>
      <c r="B31" s="1">
        <f t="shared" si="6"/>
        <v>45781</v>
      </c>
      <c r="C31" s="45" t="str">
        <f>IF(LEFT(A31,1)="S","",VLOOKUP(B31,$AC$4:$AE$734,3)-'Quoting term rates'!$C$4)</f>
        <v/>
      </c>
      <c r="E31" s="45" t="str">
        <f t="shared" si="9"/>
        <v/>
      </c>
      <c r="AC31" s="1">
        <f t="shared" si="5"/>
        <v>45781</v>
      </c>
      <c r="AD31">
        <f>IF(VLOOKUP(AC31,'FOMC exp '!$C$6:$C$22,1)=AC31,MATCH(AC31,'FOMC exp '!$C$6:$C$22,1),AD30)</f>
        <v>1</v>
      </c>
      <c r="AE31" s="18" cm="1">
        <f t="array" ref="AE31">INDEX('FOMC exp '!$C$6:$D$23,AD31,2)</f>
        <v>4.4999999999999998E-2</v>
      </c>
    </row>
    <row r="32" spans="1:31">
      <c r="A32" t="str">
        <f t="shared" si="0"/>
        <v>Monday</v>
      </c>
      <c r="B32" s="1">
        <f t="shared" si="6"/>
        <v>45782</v>
      </c>
      <c r="C32" s="45">
        <f>IF(LEFT(A32,1)="S","",VLOOKUP(B32,$AC$4:$AE$734,3)-'Quoting term rates'!$C$4)</f>
        <v>4.3299999999999998E-2</v>
      </c>
      <c r="D32">
        <f t="shared" ref="D32" si="14">D29*(1+C29*3/360)</f>
        <v>1.0033730777809051</v>
      </c>
      <c r="E32" s="45">
        <f t="shared" si="9"/>
        <v>4.3368142897351546E-2</v>
      </c>
      <c r="AC32" s="1">
        <f t="shared" si="5"/>
        <v>45782</v>
      </c>
      <c r="AD32">
        <f>IF(VLOOKUP(AC32,'FOMC exp '!$C$6:$C$22,1)=AC32,MATCH(AC32,'FOMC exp '!$C$6:$C$22,1),AD31)</f>
        <v>1</v>
      </c>
      <c r="AE32" s="18" cm="1">
        <f t="array" ref="AE32">INDEX('FOMC exp '!$C$6:$D$23,AD32,2)</f>
        <v>4.4999999999999998E-2</v>
      </c>
    </row>
    <row r="33" spans="1:31">
      <c r="A33" t="str">
        <f t="shared" si="0"/>
        <v>Tuesday</v>
      </c>
      <c r="B33" s="1">
        <f t="shared" si="6"/>
        <v>45783</v>
      </c>
      <c r="C33" s="45">
        <f>IF(LEFT(A33,1)="S","",VLOOKUP(B33,$AC$4:$AE$734,3)-'Quoting term rates'!$C$4)</f>
        <v>4.3299999999999998E-2</v>
      </c>
      <c r="D33">
        <f t="shared" ref="D33" si="15">D32*(1+C32*1/360)</f>
        <v>1.0034937612649826</v>
      </c>
      <c r="E33" s="45">
        <f t="shared" si="9"/>
        <v>4.3370829496335424E-2</v>
      </c>
      <c r="AC33" s="1">
        <f t="shared" si="5"/>
        <v>45783</v>
      </c>
      <c r="AD33">
        <f>IF(VLOOKUP(AC33,'FOMC exp '!$C$6:$C$22,1)=AC33,MATCH(AC33,'FOMC exp '!$C$6:$C$22,1),AD32)</f>
        <v>1</v>
      </c>
      <c r="AE33" s="18" cm="1">
        <f t="array" ref="AE33">INDEX('FOMC exp '!$C$6:$D$23,AD33,2)</f>
        <v>4.4999999999999998E-2</v>
      </c>
    </row>
    <row r="34" spans="1:31">
      <c r="A34" t="str">
        <f t="shared" si="0"/>
        <v>Wednesday</v>
      </c>
      <c r="B34" s="1">
        <f t="shared" si="6"/>
        <v>45784</v>
      </c>
      <c r="C34" s="45">
        <f>IF(LEFT(A34,1)="S","",VLOOKUP(B34,$AC$4:$AE$734,3)-'Quoting term rates'!$C$4)</f>
        <v>4.3299999999999998E-2</v>
      </c>
      <c r="D34">
        <f t="shared" si="7"/>
        <v>1.0036144592646015</v>
      </c>
      <c r="E34" s="45">
        <f t="shared" si="9"/>
        <v>4.3373511175217594E-2</v>
      </c>
      <c r="AC34" s="1">
        <f t="shared" si="5"/>
        <v>45784</v>
      </c>
      <c r="AD34">
        <f>IF(VLOOKUP(AC34,'FOMC exp '!$C$6:$C$22,1)=AC34,MATCH(AC34,'FOMC exp '!$C$6:$C$22,1),AD33)</f>
        <v>2</v>
      </c>
      <c r="AE34" s="18" cm="1">
        <f t="array" ref="AE34">INDEX('FOMC exp '!$C$6:$D$23,AD34,2)</f>
        <v>4.4999999999999998E-2</v>
      </c>
    </row>
    <row r="35" spans="1:31">
      <c r="A35" t="str">
        <f t="shared" si="0"/>
        <v>Thursday</v>
      </c>
      <c r="B35" s="1">
        <f t="shared" si="6"/>
        <v>45785</v>
      </c>
      <c r="C35" s="45">
        <f>IF(LEFT(A35,1)="S","",VLOOKUP(B35,$AC$4:$AE$734,3)-'Quoting term rates'!$C$4)</f>
        <v>4.3299999999999998E-2</v>
      </c>
      <c r="D35">
        <f t="shared" si="7"/>
        <v>1.0037351717815075</v>
      </c>
      <c r="E35" s="45">
        <f t="shared" si="9"/>
        <v>4.3376188430409759E-2</v>
      </c>
      <c r="AC35" s="1">
        <f t="shared" si="5"/>
        <v>45785</v>
      </c>
      <c r="AD35">
        <f>IF(VLOOKUP(AC35,'FOMC exp '!$C$6:$C$22,1)=AC35,MATCH(AC35,'FOMC exp '!$C$6:$C$22,1),AD34)</f>
        <v>2</v>
      </c>
      <c r="AE35" s="18" cm="1">
        <f t="array" ref="AE35">INDEX('FOMC exp '!$C$6:$D$23,AD35,2)</f>
        <v>4.4999999999999998E-2</v>
      </c>
    </row>
    <row r="36" spans="1:31">
      <c r="A36" t="str">
        <f t="shared" si="0"/>
        <v>Friday</v>
      </c>
      <c r="B36" s="1">
        <f t="shared" si="6"/>
        <v>45786</v>
      </c>
      <c r="C36" s="45">
        <f>IF(LEFT(A36,1)="S","",VLOOKUP(B36,$AC$4:$AE$734,3)-'Quoting term rates'!$C$4)</f>
        <v>4.3299999999999998E-2</v>
      </c>
      <c r="D36">
        <f t="shared" si="7"/>
        <v>1.0038558988174469</v>
      </c>
      <c r="E36" s="45">
        <f t="shared" si="9"/>
        <v>4.3378861696277138E-2</v>
      </c>
      <c r="AC36" s="1">
        <f t="shared" si="5"/>
        <v>45786</v>
      </c>
      <c r="AD36">
        <f>IF(VLOOKUP(AC36,'FOMC exp '!$C$6:$C$22,1)=AC36,MATCH(AC36,'FOMC exp '!$C$6:$C$22,1),AD35)</f>
        <v>2</v>
      </c>
      <c r="AE36" s="18" cm="1">
        <f t="array" ref="AE36">INDEX('FOMC exp '!$C$6:$D$23,AD36,2)</f>
        <v>4.4999999999999998E-2</v>
      </c>
    </row>
    <row r="37" spans="1:31">
      <c r="A37" t="str">
        <f t="shared" si="0"/>
        <v>Saturday</v>
      </c>
      <c r="B37" s="1">
        <f t="shared" si="6"/>
        <v>45787</v>
      </c>
      <c r="C37" s="45" t="str">
        <f>IF(LEFT(A37,1)="S","",VLOOKUP(B37,$AC$4:$AE$734,3)-'Quoting term rates'!$C$4)</f>
        <v/>
      </c>
      <c r="E37" s="45" t="str">
        <f t="shared" si="9"/>
        <v/>
      </c>
      <c r="AC37" s="1">
        <f t="shared" si="5"/>
        <v>45787</v>
      </c>
      <c r="AD37">
        <f>IF(VLOOKUP(AC37,'FOMC exp '!$C$6:$C$22,1)=AC37,MATCH(AC37,'FOMC exp '!$C$6:$C$22,1),AD36)</f>
        <v>2</v>
      </c>
      <c r="AE37" s="18" cm="1">
        <f t="array" ref="AE37">INDEX('FOMC exp '!$C$6:$D$23,AD37,2)</f>
        <v>4.4999999999999998E-2</v>
      </c>
    </row>
    <row r="38" spans="1:31">
      <c r="A38" t="str">
        <f t="shared" si="0"/>
        <v>Sunday</v>
      </c>
      <c r="B38" s="1">
        <f t="shared" si="6"/>
        <v>45788</v>
      </c>
      <c r="C38" s="45" t="str">
        <f>IF(LEFT(A38,1)="S","",VLOOKUP(B38,$AC$4:$AE$734,3)-'Quoting term rates'!$C$4)</f>
        <v/>
      </c>
      <c r="E38" s="45" t="str">
        <f t="shared" si="9"/>
        <v/>
      </c>
      <c r="AC38" s="1">
        <f t="shared" si="5"/>
        <v>45788</v>
      </c>
      <c r="AD38">
        <f>IF(VLOOKUP(AC38,'FOMC exp '!$C$6:$C$22,1)=AC38,MATCH(AC38,'FOMC exp '!$C$6:$C$22,1),AD37)</f>
        <v>2</v>
      </c>
      <c r="AE38" s="18" cm="1">
        <f t="array" ref="AE38">INDEX('FOMC exp '!$C$6:$D$23,AD38,2)</f>
        <v>4.4999999999999998E-2</v>
      </c>
    </row>
    <row r="39" spans="1:31">
      <c r="A39" t="str">
        <f t="shared" si="0"/>
        <v>Monday</v>
      </c>
      <c r="B39" s="1">
        <f t="shared" si="6"/>
        <v>45789</v>
      </c>
      <c r="C39" s="45">
        <f>IF(LEFT(A39,1)="S","",VLOOKUP(B39,$AC$4:$AE$734,3)-'Quoting term rates'!$C$4)</f>
        <v>4.3299999999999998E-2</v>
      </c>
      <c r="D39">
        <f t="shared" ref="D39" si="16">D36*(1+C36*3/360)</f>
        <v>1.0042181234876035</v>
      </c>
      <c r="E39" s="45">
        <f t="shared" si="9"/>
        <v>4.3386413015350608E-2</v>
      </c>
      <c r="AC39" s="1">
        <f t="shared" si="5"/>
        <v>45789</v>
      </c>
      <c r="AD39">
        <f>IF(VLOOKUP(AC39,'FOMC exp '!$C$6:$C$22,1)=AC39,MATCH(AC39,'FOMC exp '!$C$6:$C$22,1),AD38)</f>
        <v>2</v>
      </c>
      <c r="AE39" s="18" cm="1">
        <f t="array" ref="AE39">INDEX('FOMC exp '!$C$6:$D$23,AD39,2)</f>
        <v>4.4999999999999998E-2</v>
      </c>
    </row>
    <row r="40" spans="1:31">
      <c r="A40" t="str">
        <f t="shared" si="0"/>
        <v>Tuesday</v>
      </c>
      <c r="B40" s="1">
        <f t="shared" si="6"/>
        <v>45790</v>
      </c>
      <c r="C40" s="45">
        <f>IF(LEFT(A40,1)="S","",VLOOKUP(B40,$AC$4:$AE$734,3)-'Quoting term rates'!$C$4)</f>
        <v>4.3299999999999998E-2</v>
      </c>
      <c r="D40">
        <f t="shared" ref="D40" si="17">D39*(1+C39*1/360)</f>
        <v>1.0043389086119008</v>
      </c>
      <c r="E40" s="45">
        <f t="shared" si="9"/>
        <v>4.3389086119007825E-2</v>
      </c>
      <c r="AC40" s="1">
        <f t="shared" si="5"/>
        <v>45790</v>
      </c>
      <c r="AD40">
        <f>IF(VLOOKUP(AC40,'FOMC exp '!$C$6:$C$22,1)=AC40,MATCH(AC40,'FOMC exp '!$C$6:$C$22,1),AD39)</f>
        <v>2</v>
      </c>
      <c r="AE40" s="18" cm="1">
        <f t="array" ref="AE40">INDEX('FOMC exp '!$C$6:$D$23,AD40,2)</f>
        <v>4.4999999999999998E-2</v>
      </c>
    </row>
    <row r="41" spans="1:31">
      <c r="A41" t="str">
        <f t="shared" si="0"/>
        <v>Wednesday</v>
      </c>
      <c r="B41" s="1">
        <f t="shared" si="6"/>
        <v>45791</v>
      </c>
      <c r="C41" s="45">
        <f>IF(LEFT(A41,1)="S","",VLOOKUP(B41,$AC$4:$AE$734,3)-'Quoting term rates'!$C$4)</f>
        <v>4.3299999999999998E-2</v>
      </c>
      <c r="D41">
        <f t="shared" si="7"/>
        <v>1.0044597082639644</v>
      </c>
      <c r="E41" s="45">
        <f t="shared" si="9"/>
        <v>4.3391756081815364E-2</v>
      </c>
      <c r="AC41" s="1">
        <f t="shared" si="5"/>
        <v>45791</v>
      </c>
      <c r="AD41">
        <f>IF(VLOOKUP(AC41,'FOMC exp '!$C$6:$C$22,1)=AC41,MATCH(AC41,'FOMC exp '!$C$6:$C$22,1),AD40)</f>
        <v>2</v>
      </c>
      <c r="AE41" s="18" cm="1">
        <f t="array" ref="AE41">INDEX('FOMC exp '!$C$6:$D$23,AD41,2)</f>
        <v>4.4999999999999998E-2</v>
      </c>
    </row>
    <row r="42" spans="1:31">
      <c r="A42" t="str">
        <f t="shared" si="0"/>
        <v>Thursday</v>
      </c>
      <c r="B42" s="1">
        <f t="shared" si="6"/>
        <v>45792</v>
      </c>
      <c r="C42" s="45">
        <f>IF(LEFT(A42,1)="S","",VLOOKUP(B42,$AC$4:$AE$734,3)-'Quoting term rates'!$C$4)</f>
        <v>4.3299999999999998E-2</v>
      </c>
      <c r="D42">
        <f t="shared" si="7"/>
        <v>1.0045805224455417</v>
      </c>
      <c r="E42" s="45">
        <f t="shared" si="9"/>
        <v>4.3394423168290223E-2</v>
      </c>
      <c r="AC42" s="1">
        <f t="shared" si="5"/>
        <v>45792</v>
      </c>
      <c r="AD42">
        <f>IF(VLOOKUP(AC42,'FOMC exp '!$C$6:$C$22,1)=AC42,MATCH(AC42,'FOMC exp '!$C$6:$C$22,1),AD41)</f>
        <v>2</v>
      </c>
      <c r="AE42" s="18" cm="1">
        <f t="array" ref="AE42">INDEX('FOMC exp '!$C$6:$D$23,AD42,2)</f>
        <v>4.4999999999999998E-2</v>
      </c>
    </row>
    <row r="43" spans="1:31">
      <c r="A43" t="str">
        <f t="shared" si="0"/>
        <v>Friday</v>
      </c>
      <c r="B43" s="1">
        <f t="shared" si="6"/>
        <v>45793</v>
      </c>
      <c r="C43" s="45">
        <f>IF(LEFT(A43,1)="S","",VLOOKUP(B43,$AC$4:$AE$734,3)-'Quoting term rates'!$C$4)</f>
        <v>4.3299999999999998E-2</v>
      </c>
      <c r="D43">
        <f t="shared" si="7"/>
        <v>1.0047013511583804</v>
      </c>
      <c r="E43" s="45">
        <f t="shared" si="9"/>
        <v>4.3397087615819445E-2</v>
      </c>
      <c r="AC43" s="1">
        <f t="shared" si="5"/>
        <v>45793</v>
      </c>
      <c r="AD43">
        <f>IF(VLOOKUP(AC43,'FOMC exp '!$C$6:$C$22,1)=AC43,MATCH(AC43,'FOMC exp '!$C$6:$C$22,1),AD42)</f>
        <v>2</v>
      </c>
      <c r="AE43" s="18" cm="1">
        <f t="array" ref="AE43">INDEX('FOMC exp '!$C$6:$D$23,AD43,2)</f>
        <v>4.4999999999999998E-2</v>
      </c>
    </row>
    <row r="44" spans="1:31">
      <c r="A44" t="str">
        <f t="shared" si="0"/>
        <v>Saturday</v>
      </c>
      <c r="B44" s="1">
        <f t="shared" si="6"/>
        <v>45794</v>
      </c>
      <c r="C44" s="45" t="str">
        <f>IF(LEFT(A44,1)="S","",VLOOKUP(B44,$AC$4:$AE$734,3)-'Quoting term rates'!$C$4)</f>
        <v/>
      </c>
      <c r="E44" s="45" t="str">
        <f t="shared" si="9"/>
        <v/>
      </c>
      <c r="AC44" s="1">
        <f t="shared" si="5"/>
        <v>45794</v>
      </c>
      <c r="AD44">
        <f>IF(VLOOKUP(AC44,'FOMC exp '!$C$6:$C$22,1)=AC44,MATCH(AC44,'FOMC exp '!$C$6:$C$22,1),AD43)</f>
        <v>2</v>
      </c>
      <c r="AE44" s="18" cm="1">
        <f t="array" ref="AE44">INDEX('FOMC exp '!$C$6:$D$23,AD44,2)</f>
        <v>4.4999999999999998E-2</v>
      </c>
    </row>
    <row r="45" spans="1:31">
      <c r="A45" t="str">
        <f t="shared" si="0"/>
        <v>Sunday</v>
      </c>
      <c r="B45" s="1">
        <f t="shared" si="6"/>
        <v>45795</v>
      </c>
      <c r="C45" s="45" t="str">
        <f>IF(LEFT(A45,1)="S","",VLOOKUP(B45,$AC$4:$AE$734,3)-'Quoting term rates'!$C$4)</f>
        <v/>
      </c>
      <c r="E45" s="45" t="str">
        <f t="shared" si="9"/>
        <v/>
      </c>
      <c r="AC45" s="1">
        <f t="shared" si="5"/>
        <v>45795</v>
      </c>
      <c r="AD45">
        <f>IF(VLOOKUP(AC45,'FOMC exp '!$C$6:$C$22,1)=AC45,MATCH(AC45,'FOMC exp '!$C$6:$C$22,1),AD44)</f>
        <v>2</v>
      </c>
      <c r="AE45" s="18" cm="1">
        <f t="array" ref="AE45">INDEX('FOMC exp '!$C$6:$D$23,AD45,2)</f>
        <v>4.4999999999999998E-2</v>
      </c>
    </row>
    <row r="46" spans="1:31">
      <c r="A46" t="str">
        <f t="shared" si="0"/>
        <v>Monday</v>
      </c>
      <c r="B46" s="1">
        <f t="shared" si="6"/>
        <v>45796</v>
      </c>
      <c r="C46" s="45">
        <f>IF(LEFT(A46,1)="S","",VLOOKUP(B46,$AC$4:$AE$734,3)-'Quoting term rates'!$C$4)</f>
        <v>4.3299999999999998E-2</v>
      </c>
      <c r="D46">
        <f t="shared" ref="D46" si="18">D43*(1+C43*3/360)</f>
        <v>1.0050638808959234</v>
      </c>
      <c r="E46" s="45">
        <f t="shared" si="9"/>
        <v>4.340469339362877E-2</v>
      </c>
      <c r="AC46" s="1">
        <f t="shared" si="5"/>
        <v>45796</v>
      </c>
      <c r="AD46">
        <f>IF(VLOOKUP(AC46,'FOMC exp '!$C$6:$C$22,1)=AC46,MATCH(AC46,'FOMC exp '!$C$6:$C$22,1),AD45)</f>
        <v>2</v>
      </c>
      <c r="AE46" s="18" cm="1">
        <f t="array" ref="AE46">INDEX('FOMC exp '!$C$6:$D$23,AD46,2)</f>
        <v>4.4999999999999998E-2</v>
      </c>
    </row>
    <row r="47" spans="1:31">
      <c r="A47" t="str">
        <f t="shared" si="0"/>
        <v>Tuesday</v>
      </c>
      <c r="B47" s="1">
        <f t="shared" si="6"/>
        <v>45797</v>
      </c>
      <c r="C47" s="45">
        <f>IF(LEFT(A47,1)="S","",VLOOKUP(B47,$AC$4:$AE$734,3)-'Quoting term rates'!$C$4)</f>
        <v>4.3299999999999998E-2</v>
      </c>
      <c r="D47">
        <f t="shared" ref="D47" si="19">D46*(1+C46*1/360)</f>
        <v>1.0051847677460422</v>
      </c>
      <c r="E47" s="45">
        <f t="shared" si="9"/>
        <v>4.3407357873841271E-2</v>
      </c>
      <c r="AC47" s="1">
        <f t="shared" si="5"/>
        <v>45797</v>
      </c>
      <c r="AD47">
        <f>IF(VLOOKUP(AC47,'FOMC exp '!$C$6:$C$22,1)=AC47,MATCH(AC47,'FOMC exp '!$C$6:$C$22,1),AD46)</f>
        <v>2</v>
      </c>
      <c r="AE47" s="18" cm="1">
        <f t="array" ref="AE47">INDEX('FOMC exp '!$C$6:$D$23,AD47,2)</f>
        <v>4.4999999999999998E-2</v>
      </c>
    </row>
    <row r="48" spans="1:31">
      <c r="A48" t="str">
        <f t="shared" si="0"/>
        <v>Wednesday</v>
      </c>
      <c r="B48" s="1">
        <f t="shared" si="6"/>
        <v>45798</v>
      </c>
      <c r="C48" s="45">
        <f>IF(LEFT(A48,1)="S","",VLOOKUP(B48,$AC$4:$AE$734,3)-'Quoting term rates'!$C$4)</f>
        <v>4.3299999999999998E-2</v>
      </c>
      <c r="D48">
        <f t="shared" si="7"/>
        <v>1.0053056691361628</v>
      </c>
      <c r="E48" s="45">
        <f t="shared" si="9"/>
        <v>4.3410020204968494E-2</v>
      </c>
      <c r="AC48" s="1">
        <f t="shared" si="5"/>
        <v>45798</v>
      </c>
      <c r="AD48">
        <f>IF(VLOOKUP(AC48,'FOMC exp '!$C$6:$C$22,1)=AC48,MATCH(AC48,'FOMC exp '!$C$6:$C$22,1),AD47)</f>
        <v>2</v>
      </c>
      <c r="AE48" s="18" cm="1">
        <f t="array" ref="AE48">INDEX('FOMC exp '!$C$6:$D$23,AD48,2)</f>
        <v>4.4999999999999998E-2</v>
      </c>
    </row>
    <row r="49" spans="1:31">
      <c r="A49" t="str">
        <f t="shared" si="0"/>
        <v>Thursday</v>
      </c>
      <c r="B49" s="1">
        <f t="shared" si="6"/>
        <v>45799</v>
      </c>
      <c r="C49" s="45">
        <f>IF(LEFT(A49,1)="S","",VLOOKUP(B49,$AC$4:$AE$734,3)-'Quoting term rates'!$C$4)</f>
        <v>4.3299999999999998E-2</v>
      </c>
      <c r="D49">
        <f t="shared" si="7"/>
        <v>1.005426585068034</v>
      </c>
      <c r="E49" s="45">
        <f t="shared" si="9"/>
        <v>4.3412680544271609E-2</v>
      </c>
      <c r="AC49" s="1">
        <f t="shared" si="5"/>
        <v>45799</v>
      </c>
      <c r="AD49">
        <f>IF(VLOOKUP(AC49,'FOMC exp '!$C$6:$C$22,1)=AC49,MATCH(AC49,'FOMC exp '!$C$6:$C$22,1),AD48)</f>
        <v>2</v>
      </c>
      <c r="AE49" s="18" cm="1">
        <f t="array" ref="AE49">INDEX('FOMC exp '!$C$6:$D$23,AD49,2)</f>
        <v>4.4999999999999998E-2</v>
      </c>
    </row>
    <row r="50" spans="1:31">
      <c r="A50" t="str">
        <f t="shared" si="0"/>
        <v>Friday</v>
      </c>
      <c r="B50" s="1">
        <f t="shared" si="6"/>
        <v>45800</v>
      </c>
      <c r="C50" s="45">
        <f>IF(LEFT(A50,1)="S","",VLOOKUP(B50,$AC$4:$AE$734,3)-'Quoting term rates'!$C$4)</f>
        <v>4.3299999999999998E-2</v>
      </c>
      <c r="D50">
        <f t="shared" si="7"/>
        <v>1.0055475155434046</v>
      </c>
      <c r="E50" s="45">
        <f t="shared" si="9"/>
        <v>4.341533903534036E-2</v>
      </c>
      <c r="AC50" s="1">
        <f t="shared" si="5"/>
        <v>45800</v>
      </c>
      <c r="AD50">
        <f>IF(VLOOKUP(AC50,'FOMC exp '!$C$6:$C$22,1)=AC50,MATCH(AC50,'FOMC exp '!$C$6:$C$22,1),AD49)</f>
        <v>2</v>
      </c>
      <c r="AE50" s="18" cm="1">
        <f t="array" ref="AE50">INDEX('FOMC exp '!$C$6:$D$23,AD50,2)</f>
        <v>4.4999999999999998E-2</v>
      </c>
    </row>
    <row r="51" spans="1:31">
      <c r="A51" t="str">
        <f t="shared" si="0"/>
        <v>Saturday</v>
      </c>
      <c r="B51" s="1">
        <f t="shared" si="6"/>
        <v>45801</v>
      </c>
      <c r="C51" s="45" t="str">
        <f>IF(LEFT(A51,1)="S","",VLOOKUP(B51,$AC$4:$AE$734,3)-'Quoting term rates'!$C$4)</f>
        <v/>
      </c>
      <c r="E51" s="45" t="str">
        <f t="shared" si="9"/>
        <v/>
      </c>
      <c r="AC51" s="1">
        <f t="shared" si="5"/>
        <v>45801</v>
      </c>
      <c r="AD51">
        <f>IF(VLOOKUP(AC51,'FOMC exp '!$C$6:$C$22,1)=AC51,MATCH(AC51,'FOMC exp '!$C$6:$C$22,1),AD50)</f>
        <v>2</v>
      </c>
      <c r="AE51" s="18" cm="1">
        <f t="array" ref="AE51">INDEX('FOMC exp '!$C$6:$D$23,AD51,2)</f>
        <v>4.4999999999999998E-2</v>
      </c>
    </row>
    <row r="52" spans="1:31">
      <c r="A52" t="str">
        <f t="shared" si="0"/>
        <v>Sunday</v>
      </c>
      <c r="B52" s="1">
        <f t="shared" si="6"/>
        <v>45802</v>
      </c>
      <c r="C52" s="45" t="str">
        <f>IF(LEFT(A52,1)="S","",VLOOKUP(B52,$AC$4:$AE$734,3)-'Quoting term rates'!$C$4)</f>
        <v/>
      </c>
      <c r="E52" s="45" t="str">
        <f t="shared" si="9"/>
        <v/>
      </c>
      <c r="AC52" s="1">
        <f t="shared" si="5"/>
        <v>45802</v>
      </c>
      <c r="AD52">
        <f>IF(VLOOKUP(AC52,'FOMC exp '!$C$6:$C$22,1)=AC52,MATCH(AC52,'FOMC exp '!$C$6:$C$22,1),AD51)</f>
        <v>2</v>
      </c>
      <c r="AE52" s="18" cm="1">
        <f t="array" ref="AE52">INDEX('FOMC exp '!$C$6:$D$23,AD52,2)</f>
        <v>4.4999999999999998E-2</v>
      </c>
    </row>
    <row r="53" spans="1:31">
      <c r="A53" t="str">
        <f t="shared" si="0"/>
        <v>Monday</v>
      </c>
      <c r="B53" s="1">
        <f t="shared" si="6"/>
        <v>45803</v>
      </c>
      <c r="C53" s="45">
        <f>IF(LEFT(A53,1)="S","",VLOOKUP(B53,$AC$4:$AE$734,3)-'Quoting term rates'!$C$4)</f>
        <v>4.3299999999999998E-2</v>
      </c>
      <c r="D53">
        <f t="shared" ref="D53" si="20">D50*(1+C50*3/360)</f>
        <v>1.0059103506052631</v>
      </c>
      <c r="E53" s="45">
        <f t="shared" si="9"/>
        <v>4.3422984038667865E-2</v>
      </c>
      <c r="AC53" s="1">
        <f t="shared" si="5"/>
        <v>45803</v>
      </c>
      <c r="AD53">
        <f>IF(VLOOKUP(AC53,'FOMC exp '!$C$6:$C$22,1)=AC53,MATCH(AC53,'FOMC exp '!$C$6:$C$22,1),AD52)</f>
        <v>2</v>
      </c>
      <c r="AE53" s="18" cm="1">
        <f t="array" ref="AE53">INDEX('FOMC exp '!$C$6:$D$23,AD53,2)</f>
        <v>4.4999999999999998E-2</v>
      </c>
    </row>
    <row r="54" spans="1:31">
      <c r="A54" t="str">
        <f t="shared" si="0"/>
        <v>Tuesday</v>
      </c>
      <c r="B54" s="1">
        <f t="shared" si="6"/>
        <v>45804</v>
      </c>
      <c r="C54" s="45">
        <f>IF(LEFT(A54,1)="S","",VLOOKUP(B54,$AC$4:$AE$734,3)-'Quoting term rates'!$C$4)</f>
        <v>4.3299999999999998E-2</v>
      </c>
      <c r="D54">
        <f t="shared" ref="D54" si="21">D53*(1+C53*1/360)</f>
        <v>1.0060313392668776</v>
      </c>
      <c r="E54" s="45">
        <f t="shared" si="9"/>
        <v>4.342564272151872E-2</v>
      </c>
      <c r="AC54" s="1">
        <f t="shared" si="5"/>
        <v>45804</v>
      </c>
      <c r="AD54">
        <f>IF(VLOOKUP(AC54,'FOMC exp '!$C$6:$C$22,1)=AC54,MATCH(AC54,'FOMC exp '!$C$6:$C$22,1),AD53)</f>
        <v>2</v>
      </c>
      <c r="AE54" s="18" cm="1">
        <f t="array" ref="AE54">INDEX('FOMC exp '!$C$6:$D$23,AD54,2)</f>
        <v>4.4999999999999998E-2</v>
      </c>
    </row>
    <row r="55" spans="1:31">
      <c r="A55" t="str">
        <f t="shared" si="0"/>
        <v>Wednesday</v>
      </c>
      <c r="B55" s="1">
        <f t="shared" si="6"/>
        <v>45805</v>
      </c>
      <c r="C55" s="45">
        <f>IF(LEFT(A55,1)="S","",VLOOKUP(B55,$AC$4:$AE$734,3)-'Quoting term rates'!$C$4)</f>
        <v>4.3299999999999998E-2</v>
      </c>
      <c r="D55">
        <f t="shared" si="7"/>
        <v>1.0061523424807395</v>
      </c>
      <c r="E55" s="45">
        <f t="shared" si="9"/>
        <v>4.3428299864043396E-2</v>
      </c>
      <c r="AC55" s="1">
        <f t="shared" si="5"/>
        <v>45805</v>
      </c>
      <c r="AD55">
        <f>IF(VLOOKUP(AC55,'FOMC exp '!$C$6:$C$22,1)=AC55,MATCH(AC55,'FOMC exp '!$C$6:$C$22,1),AD54)</f>
        <v>2</v>
      </c>
      <c r="AE55" s="18" cm="1">
        <f t="array" ref="AE55">INDEX('FOMC exp '!$C$6:$D$23,AD55,2)</f>
        <v>4.4999999999999998E-2</v>
      </c>
    </row>
    <row r="56" spans="1:31">
      <c r="A56" t="str">
        <f t="shared" si="0"/>
        <v>Thursday</v>
      </c>
      <c r="B56" s="1">
        <f t="shared" si="6"/>
        <v>45806</v>
      </c>
      <c r="C56" s="45">
        <f>IF(LEFT(A56,1)="S","",VLOOKUP(B56,$AC$4:$AE$734,3)-'Quoting term rates'!$C$4)</f>
        <v>4.3299999999999998E-2</v>
      </c>
      <c r="D56">
        <f t="shared" si="7"/>
        <v>1.0062733602485989</v>
      </c>
      <c r="E56" s="45">
        <f t="shared" si="9"/>
        <v>4.3430955567223324E-2</v>
      </c>
      <c r="AC56" s="1">
        <f t="shared" si="5"/>
        <v>45806</v>
      </c>
      <c r="AD56">
        <f>IF(VLOOKUP(AC56,'FOMC exp '!$C$6:$C$22,1)=AC56,MATCH(AC56,'FOMC exp '!$C$6:$C$22,1),AD55)</f>
        <v>2</v>
      </c>
      <c r="AE56" s="18" cm="1">
        <f t="array" ref="AE56">INDEX('FOMC exp '!$C$6:$D$23,AD56,2)</f>
        <v>4.4999999999999998E-2</v>
      </c>
    </row>
    <row r="57" spans="1:31">
      <c r="A57" t="str">
        <f t="shared" si="0"/>
        <v>Friday</v>
      </c>
      <c r="B57" s="1">
        <f t="shared" si="6"/>
        <v>45807</v>
      </c>
      <c r="C57" s="45">
        <f>IF(LEFT(A57,1)="S","",VLOOKUP(B57,$AC$4:$AE$734,3)-'Quoting term rates'!$C$4)</f>
        <v>4.3299999999999998E-2</v>
      </c>
      <c r="D57">
        <f t="shared" si="7"/>
        <v>1.0063943925722065</v>
      </c>
      <c r="E57" s="45">
        <f t="shared" si="9"/>
        <v>4.3433609924421718E-2</v>
      </c>
      <c r="AC57" s="1">
        <f t="shared" si="5"/>
        <v>45807</v>
      </c>
      <c r="AD57">
        <f>IF(VLOOKUP(AC57,'FOMC exp '!$C$6:$C$22,1)=AC57,MATCH(AC57,'FOMC exp '!$C$6:$C$22,1),AD56)</f>
        <v>2</v>
      </c>
      <c r="AE57" s="18" cm="1">
        <f t="array" ref="AE57">INDEX('FOMC exp '!$C$6:$D$23,AD57,2)</f>
        <v>4.4999999999999998E-2</v>
      </c>
    </row>
    <row r="58" spans="1:31">
      <c r="A58" t="str">
        <f t="shared" si="0"/>
        <v>Saturday</v>
      </c>
      <c r="B58" s="1">
        <f t="shared" si="6"/>
        <v>45808</v>
      </c>
      <c r="C58" s="45" t="str">
        <f>IF(LEFT(A58,1)="S","",VLOOKUP(B58,$AC$4:$AE$734,3)-'Quoting term rates'!$C$4)</f>
        <v/>
      </c>
      <c r="E58" s="45" t="str">
        <f t="shared" si="9"/>
        <v/>
      </c>
      <c r="AC58" s="1">
        <f t="shared" si="5"/>
        <v>45808</v>
      </c>
      <c r="AD58">
        <f>IF(VLOOKUP(AC58,'FOMC exp '!$C$6:$C$22,1)=AC58,MATCH(AC58,'FOMC exp '!$C$6:$C$22,1),AD57)</f>
        <v>2</v>
      </c>
      <c r="AE58" s="18" cm="1">
        <f t="array" ref="AE58">INDEX('FOMC exp '!$C$6:$D$23,AD58,2)</f>
        <v>4.4999999999999998E-2</v>
      </c>
    </row>
    <row r="59" spans="1:31">
      <c r="A59" t="str">
        <f t="shared" si="0"/>
        <v>Sunday</v>
      </c>
      <c r="B59" s="1">
        <f t="shared" si="6"/>
        <v>45809</v>
      </c>
      <c r="C59" s="45" t="str">
        <f>IF(LEFT(A59,1)="S","",VLOOKUP(B59,$AC$4:$AE$734,3)-'Quoting term rates'!$C$4)</f>
        <v/>
      </c>
      <c r="E59" s="45" t="str">
        <f t="shared" si="9"/>
        <v/>
      </c>
      <c r="AC59" s="1">
        <f t="shared" si="5"/>
        <v>45809</v>
      </c>
      <c r="AD59">
        <f>IF(VLOOKUP(AC59,'FOMC exp '!$C$6:$C$22,1)=AC59,MATCH(AC59,'FOMC exp '!$C$6:$C$22,1),AD58)</f>
        <v>2</v>
      </c>
      <c r="AE59" s="18" cm="1">
        <f t="array" ref="AE59">INDEX('FOMC exp '!$C$6:$D$23,AD59,2)</f>
        <v>4.4999999999999998E-2</v>
      </c>
    </row>
    <row r="60" spans="1:31">
      <c r="A60" t="str">
        <f t="shared" si="0"/>
        <v>Monday</v>
      </c>
      <c r="B60" s="1">
        <f t="shared" si="6"/>
        <v>45810</v>
      </c>
      <c r="C60" s="45">
        <f>IF(LEFT(A60,1)="S","",VLOOKUP(B60,$AC$4:$AE$734,3)-'Quoting term rates'!$C$4)</f>
        <v>4.3299999999999998E-2</v>
      </c>
      <c r="D60">
        <f t="shared" ref="D60" si="22">D57*(1+C57*3/360)</f>
        <v>1.0067575332155263</v>
      </c>
      <c r="E60" s="45">
        <f t="shared" si="9"/>
        <v>4.3441284956954797E-2</v>
      </c>
      <c r="AC60" s="1">
        <f t="shared" si="5"/>
        <v>45810</v>
      </c>
      <c r="AD60">
        <f>IF(VLOOKUP(AC60,'FOMC exp '!$C$6:$C$22,1)=AC60,MATCH(AC60,'FOMC exp '!$C$6:$C$22,1),AD59)</f>
        <v>2</v>
      </c>
      <c r="AE60" s="18" cm="1">
        <f t="array" ref="AE60">INDEX('FOMC exp '!$C$6:$D$23,AD60,2)</f>
        <v>4.4999999999999998E-2</v>
      </c>
    </row>
    <row r="61" spans="1:31">
      <c r="A61" t="str">
        <f t="shared" si="0"/>
        <v>Tuesday</v>
      </c>
      <c r="B61" s="1">
        <f t="shared" si="6"/>
        <v>45811</v>
      </c>
      <c r="C61" s="45">
        <f>IF(LEFT(A61,1)="S","",VLOOKUP(B61,$AC$4:$AE$734,3)-'Quoting term rates'!$C$4)</f>
        <v>4.3299999999999998E-2</v>
      </c>
      <c r="D61">
        <f t="shared" ref="D61" si="23">D60*(1+C60*1/360)</f>
        <v>1.0068786237743825</v>
      </c>
      <c r="E61" s="45">
        <f t="shared" si="9"/>
        <v>4.3443939627679139E-2</v>
      </c>
      <c r="AC61" s="1">
        <f t="shared" si="5"/>
        <v>45811</v>
      </c>
      <c r="AD61">
        <f>IF(VLOOKUP(AC61,'FOMC exp '!$C$6:$C$22,1)=AC61,MATCH(AC61,'FOMC exp '!$C$6:$C$22,1),AD60)</f>
        <v>2</v>
      </c>
      <c r="AE61" s="18" cm="1">
        <f t="array" ref="AE61">INDEX('FOMC exp '!$C$6:$D$23,AD61,2)</f>
        <v>4.4999999999999998E-2</v>
      </c>
    </row>
    <row r="62" spans="1:31">
      <c r="A62" t="str">
        <f t="shared" si="0"/>
        <v>Wednesday</v>
      </c>
      <c r="B62" s="1">
        <f t="shared" si="6"/>
        <v>45812</v>
      </c>
      <c r="C62" s="45">
        <f>IF(LEFT(A62,1)="S","",VLOOKUP(B62,$AC$4:$AE$734,3)-'Quoting term rates'!$C$4)</f>
        <v>4.3299999999999998E-2</v>
      </c>
      <c r="D62">
        <f t="shared" si="7"/>
        <v>1.0069997288977421</v>
      </c>
      <c r="E62" s="45">
        <f t="shared" si="9"/>
        <v>4.34465931583995E-2</v>
      </c>
      <c r="AC62" s="1">
        <f t="shared" si="5"/>
        <v>45812</v>
      </c>
      <c r="AD62">
        <f>IF(VLOOKUP(AC62,'FOMC exp '!$C$6:$C$22,1)=AC62,MATCH(AC62,'FOMC exp '!$C$6:$C$22,1),AD61)</f>
        <v>2</v>
      </c>
      <c r="AE62" s="18" cm="1">
        <f t="array" ref="AE62">INDEX('FOMC exp '!$C$6:$D$23,AD62,2)</f>
        <v>4.4999999999999998E-2</v>
      </c>
    </row>
    <row r="63" spans="1:31">
      <c r="A63" t="str">
        <f t="shared" si="0"/>
        <v>Thursday</v>
      </c>
      <c r="B63" s="1">
        <f t="shared" si="6"/>
        <v>45813</v>
      </c>
      <c r="C63" s="45">
        <f>IF(LEFT(A63,1)="S","",VLOOKUP(B63,$AC$4:$AE$734,3)-'Quoting term rates'!$C$4)</f>
        <v>4.3299999999999998E-2</v>
      </c>
      <c r="D63">
        <f t="shared" si="7"/>
        <v>1.0071208485873568</v>
      </c>
      <c r="E63" s="45">
        <f t="shared" si="9"/>
        <v>4.3449245617770568E-2</v>
      </c>
      <c r="AC63" s="1">
        <f t="shared" si="5"/>
        <v>45813</v>
      </c>
      <c r="AD63">
        <f>IF(VLOOKUP(AC63,'FOMC exp '!$C$6:$C$22,1)=AC63,MATCH(AC63,'FOMC exp '!$C$6:$C$22,1),AD62)</f>
        <v>2</v>
      </c>
      <c r="AE63" s="18" cm="1">
        <f t="array" ref="AE63">INDEX('FOMC exp '!$C$6:$D$23,AD63,2)</f>
        <v>4.4999999999999998E-2</v>
      </c>
    </row>
    <row r="64" spans="1:31">
      <c r="A64" t="str">
        <f t="shared" si="0"/>
        <v>Friday</v>
      </c>
      <c r="B64" s="1">
        <f t="shared" si="6"/>
        <v>45814</v>
      </c>
      <c r="C64" s="45">
        <f>IF(LEFT(A64,1)="S","",VLOOKUP(B64,$AC$4:$AE$734,3)-'Quoting term rates'!$C$4)</f>
        <v>4.3299999999999998E-2</v>
      </c>
      <c r="D64">
        <f t="shared" si="7"/>
        <v>1.0072419828449786</v>
      </c>
      <c r="E64" s="45">
        <f t="shared" si="9"/>
        <v>4.3451897069871404E-2</v>
      </c>
      <c r="AC64" s="1">
        <f t="shared" si="5"/>
        <v>45814</v>
      </c>
      <c r="AD64">
        <f>IF(VLOOKUP(AC64,'FOMC exp '!$C$6:$C$22,1)=AC64,MATCH(AC64,'FOMC exp '!$C$6:$C$22,1),AD63)</f>
        <v>2</v>
      </c>
      <c r="AE64" s="18" cm="1">
        <f t="array" ref="AE64">INDEX('FOMC exp '!$C$6:$D$23,AD64,2)</f>
        <v>4.4999999999999998E-2</v>
      </c>
    </row>
    <row r="65" spans="1:31">
      <c r="A65" t="str">
        <f t="shared" si="0"/>
        <v>Saturday</v>
      </c>
      <c r="B65" s="1">
        <f t="shared" si="6"/>
        <v>45815</v>
      </c>
      <c r="C65" s="45" t="str">
        <f>IF(LEFT(A65,1)="S","",VLOOKUP(B65,$AC$4:$AE$734,3)-'Quoting term rates'!$C$4)</f>
        <v/>
      </c>
      <c r="E65" s="45" t="str">
        <f t="shared" si="9"/>
        <v/>
      </c>
      <c r="AC65" s="1">
        <f t="shared" si="5"/>
        <v>45815</v>
      </c>
      <c r="AD65">
        <f>IF(VLOOKUP(AC65,'FOMC exp '!$C$6:$C$22,1)=AC65,MATCH(AC65,'FOMC exp '!$C$6:$C$22,1),AD64)</f>
        <v>2</v>
      </c>
      <c r="AE65" s="18" cm="1">
        <f t="array" ref="AE65">INDEX('FOMC exp '!$C$6:$D$23,AD65,2)</f>
        <v>4.4999999999999998E-2</v>
      </c>
    </row>
    <row r="66" spans="1:31">
      <c r="A66" t="str">
        <f t="shared" si="0"/>
        <v>Sunday</v>
      </c>
      <c r="B66" s="1">
        <f t="shared" si="6"/>
        <v>45816</v>
      </c>
      <c r="C66" s="45" t="str">
        <f>IF(LEFT(A66,1)="S","",VLOOKUP(B66,$AC$4:$AE$734,3)-'Quoting term rates'!$C$4)</f>
        <v/>
      </c>
      <c r="E66" s="45" t="str">
        <f t="shared" si="9"/>
        <v/>
      </c>
      <c r="AC66" s="1">
        <f t="shared" si="5"/>
        <v>45816</v>
      </c>
      <c r="AD66">
        <f>IF(VLOOKUP(AC66,'FOMC exp '!$C$6:$C$22,1)=AC66,MATCH(AC66,'FOMC exp '!$C$6:$C$22,1),AD65)</f>
        <v>2</v>
      </c>
      <c r="AE66" s="18" cm="1">
        <f t="array" ref="AE66">INDEX('FOMC exp '!$C$6:$D$23,AD66,2)</f>
        <v>4.4999999999999998E-2</v>
      </c>
    </row>
    <row r="67" spans="1:31">
      <c r="A67" t="str">
        <f t="shared" si="0"/>
        <v>Monday</v>
      </c>
      <c r="B67" s="1">
        <f t="shared" si="6"/>
        <v>45817</v>
      </c>
      <c r="C67" s="45">
        <f>IF(LEFT(A67,1)="S","",VLOOKUP(B67,$AC$4:$AE$734,3)-'Quoting term rates'!$C$4)</f>
        <v>4.3299999999999998E-2</v>
      </c>
      <c r="D67">
        <f t="shared" ref="D67" si="24">D64*(1+C64*3/360)</f>
        <v>1.0076054293271219</v>
      </c>
      <c r="E67" s="45">
        <f t="shared" si="9"/>
        <v>4.3459596154982502E-2</v>
      </c>
      <c r="AC67" s="1">
        <f t="shared" si="5"/>
        <v>45817</v>
      </c>
      <c r="AD67">
        <f>IF(VLOOKUP(AC67,'FOMC exp '!$C$6:$C$22,1)=AC67,MATCH(AC67,'FOMC exp '!$C$6:$C$22,1),AD66)</f>
        <v>2</v>
      </c>
      <c r="AE67" s="18" cm="1">
        <f t="array" ref="AE67">INDEX('FOMC exp '!$C$6:$D$23,AD67,2)</f>
        <v>4.4999999999999998E-2</v>
      </c>
    </row>
    <row r="68" spans="1:31">
      <c r="A68" t="str">
        <f t="shared" si="0"/>
        <v>Tuesday</v>
      </c>
      <c r="B68" s="1">
        <f t="shared" si="6"/>
        <v>45818</v>
      </c>
      <c r="C68" s="45">
        <f>IF(LEFT(A68,1)="S","",VLOOKUP(B68,$AC$4:$AE$734,3)-'Quoting term rates'!$C$4)</f>
        <v>4.3299999999999998E-2</v>
      </c>
      <c r="D68">
        <f t="shared" ref="D68" si="25">D67*(1+C67*1/360)</f>
        <v>1.0077266218690382</v>
      </c>
      <c r="E68" s="45">
        <f t="shared" si="9"/>
        <v>4.3462248013339672E-2</v>
      </c>
      <c r="AC68" s="1">
        <f t="shared" si="5"/>
        <v>45818</v>
      </c>
      <c r="AD68">
        <f>IF(VLOOKUP(AC68,'FOMC exp '!$C$6:$C$22,1)=AC68,MATCH(AC68,'FOMC exp '!$C$6:$C$22,1),AD67)</f>
        <v>2</v>
      </c>
      <c r="AE68" s="18" cm="1">
        <f t="array" ref="AE68">INDEX('FOMC exp '!$C$6:$D$23,AD68,2)</f>
        <v>4.4999999999999998E-2</v>
      </c>
    </row>
    <row r="69" spans="1:31">
      <c r="A69" t="str">
        <f t="shared" ref="A69:A132" si="26">VLOOKUP(WEEKDAY(B69,2),$Z$2:$AA$8,2)</f>
        <v>Wednesday</v>
      </c>
      <c r="B69" s="1">
        <f t="shared" si="6"/>
        <v>45819</v>
      </c>
      <c r="C69" s="45">
        <f>IF(LEFT(A69,1)="S","",VLOOKUP(B69,$AC$4:$AE$734,3)-'Quoting term rates'!$C$4)</f>
        <v>4.3299999999999998E-2</v>
      </c>
      <c r="D69">
        <f t="shared" si="7"/>
        <v>1.0078478289877242</v>
      </c>
      <c r="E69" s="45">
        <f t="shared" si="9"/>
        <v>4.3464899008933924E-2</v>
      </c>
      <c r="AC69" s="1">
        <f t="shared" ref="AC69:AC132" si="27">B69</f>
        <v>45819</v>
      </c>
      <c r="AD69">
        <f>IF(VLOOKUP(AC69,'FOMC exp '!$C$6:$C$22,1)=AC69,MATCH(AC69,'FOMC exp '!$C$6:$C$22,1),AD68)</f>
        <v>2</v>
      </c>
      <c r="AE69" s="18" cm="1">
        <f t="array" ref="AE69">INDEX('FOMC exp '!$C$6:$D$23,AD69,2)</f>
        <v>4.4999999999999998E-2</v>
      </c>
    </row>
    <row r="70" spans="1:31">
      <c r="A70" t="str">
        <f t="shared" si="26"/>
        <v>Thursday</v>
      </c>
      <c r="B70" s="1">
        <f t="shared" ref="B70:B133" si="28">B69+1</f>
        <v>45820</v>
      </c>
      <c r="C70" s="45">
        <f>IF(LEFT(A70,1)="S","",VLOOKUP(B70,$AC$4:$AE$734,3)-'Quoting term rates'!$C$4)</f>
        <v>4.3299999999999998E-2</v>
      </c>
      <c r="D70">
        <f t="shared" ref="D70:D133" si="29">D69*(1+C69*1/360)</f>
        <v>1.007969050684933</v>
      </c>
      <c r="E70" s="45">
        <f t="shared" si="9"/>
        <v>4.3467549190543811E-2</v>
      </c>
      <c r="AC70" s="1">
        <f t="shared" si="27"/>
        <v>45820</v>
      </c>
      <c r="AD70">
        <f>IF(VLOOKUP(AC70,'FOMC exp '!$C$6:$C$22,1)=AC70,MATCH(AC70,'FOMC exp '!$C$6:$C$22,1),AD69)</f>
        <v>2</v>
      </c>
      <c r="AE70" s="18" cm="1">
        <f t="array" ref="AE70">INDEX('FOMC exp '!$C$6:$D$23,AD70,2)</f>
        <v>4.4999999999999998E-2</v>
      </c>
    </row>
    <row r="71" spans="1:31">
      <c r="A71" t="str">
        <f t="shared" si="26"/>
        <v>Friday</v>
      </c>
      <c r="B71" s="1">
        <f t="shared" si="28"/>
        <v>45821</v>
      </c>
      <c r="C71" s="45">
        <f>IF(LEFT(A71,1)="S","",VLOOKUP(B71,$AC$4:$AE$734,3)-'Quoting term rates'!$C$4)</f>
        <v>4.3299999999999998E-2</v>
      </c>
      <c r="D71">
        <f t="shared" si="29"/>
        <v>1.0080902869624182</v>
      </c>
      <c r="E71" s="45">
        <f t="shared" si="9"/>
        <v>4.3470198604038106E-2</v>
      </c>
      <c r="AC71" s="1">
        <f t="shared" si="27"/>
        <v>45821</v>
      </c>
      <c r="AD71">
        <f>IF(VLOOKUP(AC71,'FOMC exp '!$C$6:$C$22,1)=AC71,MATCH(AC71,'FOMC exp '!$C$6:$C$22,1),AD70)</f>
        <v>2</v>
      </c>
      <c r="AE71" s="18" cm="1">
        <f t="array" ref="AE71">INDEX('FOMC exp '!$C$6:$D$23,AD71,2)</f>
        <v>4.4999999999999998E-2</v>
      </c>
    </row>
    <row r="72" spans="1:31">
      <c r="A72" t="str">
        <f t="shared" si="26"/>
        <v>Saturday</v>
      </c>
      <c r="B72" s="1">
        <f t="shared" si="28"/>
        <v>45822</v>
      </c>
      <c r="C72" s="45" t="str">
        <f>IF(LEFT(A72,1)="S","",VLOOKUP(B72,$AC$4:$AE$734,3)-'Quoting term rates'!$C$4)</f>
        <v/>
      </c>
      <c r="E72" s="45" t="str">
        <f t="shared" si="9"/>
        <v/>
      </c>
      <c r="AC72" s="1">
        <f t="shared" si="27"/>
        <v>45822</v>
      </c>
      <c r="AD72">
        <f>IF(VLOOKUP(AC72,'FOMC exp '!$C$6:$C$22,1)=AC72,MATCH(AC72,'FOMC exp '!$C$6:$C$22,1),AD71)</f>
        <v>2</v>
      </c>
      <c r="AE72" s="18" cm="1">
        <f t="array" ref="AE72">INDEX('FOMC exp '!$C$6:$D$23,AD72,2)</f>
        <v>4.4999999999999998E-2</v>
      </c>
    </row>
    <row r="73" spans="1:31">
      <c r="A73" t="str">
        <f t="shared" si="26"/>
        <v>Sunday</v>
      </c>
      <c r="B73" s="1">
        <f t="shared" si="28"/>
        <v>45823</v>
      </c>
      <c r="C73" s="45" t="str">
        <f>IF(LEFT(A73,1)="S","",VLOOKUP(B73,$AC$4:$AE$734,3)-'Quoting term rates'!$C$4)</f>
        <v/>
      </c>
      <c r="E73" s="45" t="str">
        <f t="shared" si="9"/>
        <v/>
      </c>
      <c r="AC73" s="1">
        <f t="shared" si="27"/>
        <v>45823</v>
      </c>
      <c r="AD73">
        <f>IF(VLOOKUP(AC73,'FOMC exp '!$C$6:$C$22,1)=AC73,MATCH(AC73,'FOMC exp '!$C$6:$C$22,1),AD72)</f>
        <v>2</v>
      </c>
      <c r="AE73" s="18" cm="1">
        <f t="array" ref="AE73">INDEX('FOMC exp '!$C$6:$D$23,AD73,2)</f>
        <v>4.4999999999999998E-2</v>
      </c>
    </row>
    <row r="74" spans="1:31">
      <c r="A74" t="str">
        <f t="shared" si="26"/>
        <v>Monday</v>
      </c>
      <c r="B74" s="1">
        <f t="shared" si="28"/>
        <v>45824</v>
      </c>
      <c r="C74" s="45">
        <f>IF(LEFT(A74,1)="S","",VLOOKUP(B74,$AC$4:$AE$734,3)-'Quoting term rates'!$C$4)</f>
        <v>4.3299999999999998E-2</v>
      </c>
      <c r="D74">
        <f t="shared" ref="D74" si="30">D71*(1+C71*3/360)</f>
        <v>1.0084540395409638</v>
      </c>
      <c r="E74" s="45">
        <f t="shared" si="9"/>
        <v>4.3477917639242393E-2</v>
      </c>
      <c r="AC74" s="1">
        <f t="shared" si="27"/>
        <v>45824</v>
      </c>
      <c r="AD74">
        <f>IF(VLOOKUP(AC74,'FOMC exp '!$C$6:$C$22,1)=AC74,MATCH(AC74,'FOMC exp '!$C$6:$C$22,1),AD73)</f>
        <v>2</v>
      </c>
      <c r="AE74" s="18" cm="1">
        <f t="array" ref="AE74">INDEX('FOMC exp '!$C$6:$D$23,AD74,2)</f>
        <v>4.4999999999999998E-2</v>
      </c>
    </row>
    <row r="75" spans="1:31">
      <c r="A75" t="str">
        <f t="shared" si="26"/>
        <v>Tuesday</v>
      </c>
      <c r="B75" s="1">
        <f t="shared" si="28"/>
        <v>45825</v>
      </c>
      <c r="C75" s="45">
        <f>IF(LEFT(A75,1)="S","",VLOOKUP(B75,$AC$4:$AE$734,3)-'Quoting term rates'!$C$4)</f>
        <v>4.3299999999999998E-2</v>
      </c>
      <c r="D75">
        <f t="shared" ref="D75" si="31">D74*(1+C74*1/360)</f>
        <v>1.0085753341518309</v>
      </c>
      <c r="E75" s="45">
        <f t="shared" si="9"/>
        <v>4.3480567530410054E-2</v>
      </c>
      <c r="AC75" s="1">
        <f t="shared" si="27"/>
        <v>45825</v>
      </c>
      <c r="AD75">
        <f>IF(VLOOKUP(AC75,'FOMC exp '!$C$6:$C$22,1)=AC75,MATCH(AC75,'FOMC exp '!$C$6:$C$22,1),AD74)</f>
        <v>2</v>
      </c>
      <c r="AE75" s="18" cm="1">
        <f t="array" ref="AE75">INDEX('FOMC exp '!$C$6:$D$23,AD75,2)</f>
        <v>4.4999999999999998E-2</v>
      </c>
    </row>
    <row r="76" spans="1:31">
      <c r="A76" t="str">
        <f t="shared" si="26"/>
        <v>Wednesday</v>
      </c>
      <c r="B76" s="1">
        <f t="shared" si="28"/>
        <v>45826</v>
      </c>
      <c r="C76" s="45">
        <f>IF(LEFT(A76,1)="S","",VLOOKUP(B76,$AC$4:$AE$734,3)-'Quoting term rates'!$C$4)</f>
        <v>4.3299999999999998E-2</v>
      </c>
      <c r="D76">
        <f t="shared" si="29"/>
        <v>1.0086966433517441</v>
      </c>
      <c r="E76" s="45">
        <f t="shared" ref="E76:E139" si="32">IF((D76-1)*360/(B76-$B$4)&lt;0,"",(D76-1)*360/(B76-$B$4))</f>
        <v>4.3483216758720689E-2</v>
      </c>
      <c r="AC76" s="1">
        <f t="shared" si="27"/>
        <v>45826</v>
      </c>
      <c r="AD76">
        <f>IF(VLOOKUP(AC76,'FOMC exp '!$C$6:$C$22,1)=AC76,MATCH(AC76,'FOMC exp '!$C$6:$C$22,1),AD75)</f>
        <v>3</v>
      </c>
      <c r="AE76" s="18" cm="1">
        <f t="array" ref="AE76">INDEX('FOMC exp '!$C$6:$D$23,AD76,2)</f>
        <v>4.4999999999999998E-2</v>
      </c>
    </row>
    <row r="77" spans="1:31">
      <c r="A77" t="str">
        <f t="shared" si="26"/>
        <v>Thursday</v>
      </c>
      <c r="B77" s="1">
        <f t="shared" si="28"/>
        <v>45827</v>
      </c>
      <c r="C77" s="45">
        <f>IF(LEFT(A77,1)="S","",VLOOKUP(B77,$AC$4:$AE$734,3)-'Quoting term rates'!$C$4)</f>
        <v>4.3299999999999998E-2</v>
      </c>
      <c r="D77">
        <f t="shared" si="29"/>
        <v>1.0088179671424584</v>
      </c>
      <c r="E77" s="45">
        <f t="shared" si="32"/>
        <v>4.3485865360068904E-2</v>
      </c>
      <c r="AC77" s="1">
        <f t="shared" si="27"/>
        <v>45827</v>
      </c>
      <c r="AD77">
        <f>IF(VLOOKUP(AC77,'FOMC exp '!$C$6:$C$22,1)=AC77,MATCH(AC77,'FOMC exp '!$C$6:$C$22,1),AD76)</f>
        <v>3</v>
      </c>
      <c r="AE77" s="18" cm="1">
        <f t="array" ref="AE77">INDEX('FOMC exp '!$C$6:$D$23,AD77,2)</f>
        <v>4.4999999999999998E-2</v>
      </c>
    </row>
    <row r="78" spans="1:31">
      <c r="A78" t="str">
        <f t="shared" si="26"/>
        <v>Friday</v>
      </c>
      <c r="B78" s="1">
        <f t="shared" si="28"/>
        <v>45828</v>
      </c>
      <c r="C78" s="45">
        <f>IF(LEFT(A78,1)="S","",VLOOKUP(B78,$AC$4:$AE$734,3)-'Quoting term rates'!$C$4)</f>
        <v>4.3299999999999998E-2</v>
      </c>
      <c r="D78">
        <f t="shared" si="29"/>
        <v>1.0089393055257285</v>
      </c>
      <c r="E78" s="45">
        <f t="shared" si="32"/>
        <v>4.3488513368409039E-2</v>
      </c>
      <c r="AC78" s="1">
        <f t="shared" si="27"/>
        <v>45828</v>
      </c>
      <c r="AD78">
        <f>IF(VLOOKUP(AC78,'FOMC exp '!$C$6:$C$22,1)=AC78,MATCH(AC78,'FOMC exp '!$C$6:$C$22,1),AD77)</f>
        <v>3</v>
      </c>
      <c r="AE78" s="18" cm="1">
        <f t="array" ref="AE78">INDEX('FOMC exp '!$C$6:$D$23,AD78,2)</f>
        <v>4.4999999999999998E-2</v>
      </c>
    </row>
    <row r="79" spans="1:31">
      <c r="A79" t="str">
        <f t="shared" si="26"/>
        <v>Saturday</v>
      </c>
      <c r="B79" s="1">
        <f t="shared" si="28"/>
        <v>45829</v>
      </c>
      <c r="C79" s="45" t="str">
        <f>IF(LEFT(A79,1)="S","",VLOOKUP(B79,$AC$4:$AE$734,3)-'Quoting term rates'!$C$4)</f>
        <v/>
      </c>
      <c r="E79" s="45" t="str">
        <f t="shared" si="32"/>
        <v/>
      </c>
      <c r="AC79" s="1">
        <f t="shared" si="27"/>
        <v>45829</v>
      </c>
      <c r="AD79">
        <f>IF(VLOOKUP(AC79,'FOMC exp '!$C$6:$C$22,1)=AC79,MATCH(AC79,'FOMC exp '!$C$6:$C$22,1),AD78)</f>
        <v>3</v>
      </c>
      <c r="AE79" s="18" cm="1">
        <f t="array" ref="AE79">INDEX('FOMC exp '!$C$6:$D$23,AD79,2)</f>
        <v>4.4999999999999998E-2</v>
      </c>
    </row>
    <row r="80" spans="1:31">
      <c r="A80" t="str">
        <f t="shared" si="26"/>
        <v>Sunday</v>
      </c>
      <c r="B80" s="1">
        <f t="shared" si="28"/>
        <v>45830</v>
      </c>
      <c r="C80" s="45" t="str">
        <f>IF(LEFT(A80,1)="S","",VLOOKUP(B80,$AC$4:$AE$734,3)-'Quoting term rates'!$C$4)</f>
        <v/>
      </c>
      <c r="E80" s="45" t="str">
        <f t="shared" si="32"/>
        <v/>
      </c>
      <c r="AC80" s="1">
        <f t="shared" si="27"/>
        <v>45830</v>
      </c>
      <c r="AD80">
        <f>IF(VLOOKUP(AC80,'FOMC exp '!$C$6:$C$22,1)=AC80,MATCH(AC80,'FOMC exp '!$C$6:$C$22,1),AD79)</f>
        <v>3</v>
      </c>
      <c r="AE80" s="18" cm="1">
        <f t="array" ref="AE80">INDEX('FOMC exp '!$C$6:$D$23,AD80,2)</f>
        <v>4.4999999999999998E-2</v>
      </c>
    </row>
    <row r="81" spans="1:31">
      <c r="A81" t="str">
        <f t="shared" si="26"/>
        <v>Monday</v>
      </c>
      <c r="B81" s="1">
        <f t="shared" si="28"/>
        <v>45831</v>
      </c>
      <c r="C81" s="45">
        <f>IF(LEFT(A81,1)="S","",VLOOKUP(B81,$AC$4:$AE$734,3)-'Quoting term rates'!$C$4)</f>
        <v>4.3299999999999998E-2</v>
      </c>
      <c r="D81">
        <f t="shared" ref="D81" si="33">D78*(1+C78*3/360)</f>
        <v>1.0093033644584724</v>
      </c>
      <c r="E81" s="45">
        <f t="shared" si="32"/>
        <v>4.3496249416234374E-2</v>
      </c>
      <c r="AC81" s="1">
        <f t="shared" si="27"/>
        <v>45831</v>
      </c>
      <c r="AD81">
        <f>IF(VLOOKUP(AC81,'FOMC exp '!$C$6:$C$22,1)=AC81,MATCH(AC81,'FOMC exp '!$C$6:$C$22,1),AD80)</f>
        <v>3</v>
      </c>
      <c r="AE81" s="18" cm="1">
        <f t="array" ref="AE81">INDEX('FOMC exp '!$C$6:$D$23,AD81,2)</f>
        <v>4.4999999999999998E-2</v>
      </c>
    </row>
    <row r="82" spans="1:31">
      <c r="A82" t="str">
        <f t="shared" si="26"/>
        <v>Tuesday</v>
      </c>
      <c r="B82" s="1">
        <f t="shared" si="28"/>
        <v>45832</v>
      </c>
      <c r="C82" s="45">
        <f>IF(LEFT(A82,1)="S","",VLOOKUP(B82,$AC$4:$AE$734,3)-'Quoting term rates'!$C$4)</f>
        <v>4.3299999999999998E-2</v>
      </c>
      <c r="D82">
        <f t="shared" ref="D82" si="34">D81*(1+C81*1/360)</f>
        <v>1.0094247612242531</v>
      </c>
      <c r="E82" s="45">
        <f t="shared" si="32"/>
        <v>4.3498897958091066E-2</v>
      </c>
      <c r="AC82" s="1">
        <f t="shared" si="27"/>
        <v>45832</v>
      </c>
      <c r="AD82">
        <f>IF(VLOOKUP(AC82,'FOMC exp '!$C$6:$C$22,1)=AC82,MATCH(AC82,'FOMC exp '!$C$6:$C$22,1),AD81)</f>
        <v>3</v>
      </c>
      <c r="AE82" s="18" cm="1">
        <f t="array" ref="AE82">INDEX('FOMC exp '!$C$6:$D$23,AD82,2)</f>
        <v>4.4999999999999998E-2</v>
      </c>
    </row>
    <row r="83" spans="1:31">
      <c r="A83" t="str">
        <f t="shared" si="26"/>
        <v>Wednesday</v>
      </c>
      <c r="B83" s="1">
        <f t="shared" si="28"/>
        <v>45833</v>
      </c>
      <c r="C83" s="45">
        <f>IF(LEFT(A83,1)="S","",VLOOKUP(B83,$AC$4:$AE$734,3)-'Quoting term rates'!$C$4)</f>
        <v>4.3299999999999998E-2</v>
      </c>
      <c r="D83">
        <f t="shared" si="29"/>
        <v>1.009546172591367</v>
      </c>
      <c r="E83" s="45">
        <f t="shared" si="32"/>
        <v>4.3501545985976338E-2</v>
      </c>
      <c r="AC83" s="1">
        <f t="shared" si="27"/>
        <v>45833</v>
      </c>
      <c r="AD83">
        <f>IF(VLOOKUP(AC83,'FOMC exp '!$C$6:$C$22,1)=AC83,MATCH(AC83,'FOMC exp '!$C$6:$C$22,1),AD82)</f>
        <v>3</v>
      </c>
      <c r="AE83" s="18" cm="1">
        <f t="array" ref="AE83">INDEX('FOMC exp '!$C$6:$D$23,AD83,2)</f>
        <v>4.4999999999999998E-2</v>
      </c>
    </row>
    <row r="84" spans="1:31">
      <c r="A84" t="str">
        <f t="shared" si="26"/>
        <v>Thursday</v>
      </c>
      <c r="B84" s="1">
        <f t="shared" si="28"/>
        <v>45834</v>
      </c>
      <c r="C84" s="45">
        <f>IF(LEFT(A84,1)="S","",VLOOKUP(B84,$AC$4:$AE$734,3)-'Quoting term rates'!$C$4)</f>
        <v>4.3299999999999998E-2</v>
      </c>
      <c r="D84">
        <f t="shared" si="29"/>
        <v>1.0096675985615704</v>
      </c>
      <c r="E84" s="45">
        <f t="shared" si="32"/>
        <v>4.3504193527066803E-2</v>
      </c>
      <c r="AC84" s="1">
        <f t="shared" si="27"/>
        <v>45834</v>
      </c>
      <c r="AD84">
        <f>IF(VLOOKUP(AC84,'FOMC exp '!$C$6:$C$22,1)=AC84,MATCH(AC84,'FOMC exp '!$C$6:$C$22,1),AD83)</f>
        <v>3</v>
      </c>
      <c r="AE84" s="18" cm="1">
        <f t="array" ref="AE84">INDEX('FOMC exp '!$C$6:$D$23,AD84,2)</f>
        <v>4.4999999999999998E-2</v>
      </c>
    </row>
    <row r="85" spans="1:31">
      <c r="A85" t="str">
        <f t="shared" si="26"/>
        <v>Friday</v>
      </c>
      <c r="B85" s="1">
        <f t="shared" si="28"/>
        <v>45835</v>
      </c>
      <c r="C85" s="45">
        <f>IF(LEFT(A85,1)="S","",VLOOKUP(B85,$AC$4:$AE$734,3)-'Quoting term rates'!$C$4)</f>
        <v>4.3299999999999998E-2</v>
      </c>
      <c r="D85">
        <f t="shared" si="29"/>
        <v>1.0097890391366195</v>
      </c>
      <c r="E85" s="45">
        <f t="shared" si="32"/>
        <v>4.3506840607197991E-2</v>
      </c>
      <c r="AC85" s="1">
        <f t="shared" si="27"/>
        <v>45835</v>
      </c>
      <c r="AD85">
        <f>IF(VLOOKUP(AC85,'FOMC exp '!$C$6:$C$22,1)=AC85,MATCH(AC85,'FOMC exp '!$C$6:$C$22,1),AD84)</f>
        <v>3</v>
      </c>
      <c r="AE85" s="18" cm="1">
        <f t="array" ref="AE85">INDEX('FOMC exp '!$C$6:$D$23,AD85,2)</f>
        <v>4.4999999999999998E-2</v>
      </c>
    </row>
    <row r="86" spans="1:31">
      <c r="A86" t="str">
        <f t="shared" si="26"/>
        <v>Saturday</v>
      </c>
      <c r="B86" s="1">
        <f t="shared" si="28"/>
        <v>45836</v>
      </c>
      <c r="C86" s="45" t="str">
        <f>IF(LEFT(A86,1)="S","",VLOOKUP(B86,$AC$4:$AE$734,3)-'Quoting term rates'!$C$4)</f>
        <v/>
      </c>
      <c r="E86" s="45" t="str">
        <f t="shared" si="32"/>
        <v/>
      </c>
      <c r="AC86" s="1">
        <f t="shared" si="27"/>
        <v>45836</v>
      </c>
      <c r="AD86">
        <f>IF(VLOOKUP(AC86,'FOMC exp '!$C$6:$C$22,1)=AC86,MATCH(AC86,'FOMC exp '!$C$6:$C$22,1),AD85)</f>
        <v>3</v>
      </c>
      <c r="AE86" s="18" cm="1">
        <f t="array" ref="AE86">INDEX('FOMC exp '!$C$6:$D$23,AD86,2)</f>
        <v>4.4999999999999998E-2</v>
      </c>
    </row>
    <row r="87" spans="1:31">
      <c r="A87" t="str">
        <f t="shared" si="26"/>
        <v>Sunday</v>
      </c>
      <c r="B87" s="1">
        <f t="shared" si="28"/>
        <v>45837</v>
      </c>
      <c r="C87" s="45" t="str">
        <f>IF(LEFT(A87,1)="S","",VLOOKUP(B87,$AC$4:$AE$734,3)-'Quoting term rates'!$C$4)</f>
        <v/>
      </c>
      <c r="E87" s="45" t="str">
        <f t="shared" si="32"/>
        <v/>
      </c>
      <c r="AC87" s="1">
        <f t="shared" si="27"/>
        <v>45837</v>
      </c>
      <c r="AD87">
        <f>IF(VLOOKUP(AC87,'FOMC exp '!$C$6:$C$22,1)=AC87,MATCH(AC87,'FOMC exp '!$C$6:$C$22,1),AD86)</f>
        <v>3</v>
      </c>
      <c r="AE87" s="18" cm="1">
        <f t="array" ref="AE87">INDEX('FOMC exp '!$C$6:$D$23,AD87,2)</f>
        <v>4.4999999999999998E-2</v>
      </c>
    </row>
    <row r="88" spans="1:31">
      <c r="A88" t="str">
        <f t="shared" si="26"/>
        <v>Monday</v>
      </c>
      <c r="B88" s="1">
        <f t="shared" si="28"/>
        <v>45838</v>
      </c>
      <c r="C88" s="45">
        <f>IF(LEFT(A88,1)="S","",VLOOKUP(B88,$AC$4:$AE$734,3)-'Quoting term rates'!$C$4)</f>
        <v>4.3299999999999998E-2</v>
      </c>
      <c r="D88">
        <f>D85*(1+C85*3/360)</f>
        <v>1.0101534046815748</v>
      </c>
      <c r="E88" s="45">
        <f t="shared" si="32"/>
        <v>4.3514591492463318E-2</v>
      </c>
      <c r="AC88" s="1">
        <f t="shared" si="27"/>
        <v>45838</v>
      </c>
      <c r="AD88">
        <f>IF(VLOOKUP(AC88,'FOMC exp '!$C$6:$C$22,1)=AC88,MATCH(AC88,'FOMC exp '!$C$6:$C$22,1),AD87)</f>
        <v>3</v>
      </c>
      <c r="AE88" s="18" cm="1">
        <f t="array" ref="AE88">INDEX('FOMC exp '!$C$6:$D$23,AD88,2)</f>
        <v>4.4999999999999998E-2</v>
      </c>
    </row>
    <row r="89" spans="1:31">
      <c r="A89" t="str">
        <f t="shared" si="26"/>
        <v>Tuesday</v>
      </c>
      <c r="B89" s="1">
        <f t="shared" si="28"/>
        <v>45839</v>
      </c>
      <c r="C89" s="45">
        <f>IF(LEFT(A89,1)="S","",VLOOKUP(B89,$AC$4:$AE$734,3)-'Quoting term rates'!$C$4)</f>
        <v>4.3299999999999998E-2</v>
      </c>
      <c r="D89">
        <f>D88*(1+C88*1/360)</f>
        <v>1.0102749036883045</v>
      </c>
      <c r="E89" s="45">
        <f t="shared" si="32"/>
        <v>4.3517239150466229E-2</v>
      </c>
      <c r="AC89" s="1">
        <f t="shared" si="27"/>
        <v>45839</v>
      </c>
      <c r="AD89">
        <f>IF(VLOOKUP(AC89,'FOMC exp '!$C$6:$C$22,1)=AC89,MATCH(AC89,'FOMC exp '!$C$6:$C$22,1),AD88)</f>
        <v>3</v>
      </c>
      <c r="AE89" s="18" cm="1">
        <f t="array" ref="AE89">INDEX('FOMC exp '!$C$6:$D$23,AD89,2)</f>
        <v>4.4999999999999998E-2</v>
      </c>
    </row>
    <row r="90" spans="1:31">
      <c r="A90" t="str">
        <f t="shared" si="26"/>
        <v>Wednesday</v>
      </c>
      <c r="B90" s="1">
        <f t="shared" si="28"/>
        <v>45840</v>
      </c>
      <c r="C90" s="45">
        <f>IF(LEFT(A90,1)="S","",VLOOKUP(B90,$AC$4:$AE$734,3)-'Quoting term rates'!$C$4)</f>
        <v>4.3299999999999998E-2</v>
      </c>
      <c r="D90">
        <f t="shared" si="29"/>
        <v>1.0103964173086648</v>
      </c>
      <c r="E90" s="45">
        <f t="shared" si="32"/>
        <v>4.3519886408364308E-2</v>
      </c>
      <c r="AC90" s="1">
        <f t="shared" si="27"/>
        <v>45840</v>
      </c>
      <c r="AD90">
        <f>IF(VLOOKUP(AC90,'FOMC exp '!$C$6:$C$22,1)=AC90,MATCH(AC90,'FOMC exp '!$C$6:$C$22,1),AD89)</f>
        <v>3</v>
      </c>
      <c r="AE90" s="18" cm="1">
        <f t="array" ref="AE90">INDEX('FOMC exp '!$C$6:$D$23,AD90,2)</f>
        <v>4.4999999999999998E-2</v>
      </c>
    </row>
    <row r="91" spans="1:31">
      <c r="A91" t="str">
        <f t="shared" si="26"/>
        <v>Thursday</v>
      </c>
      <c r="B91" s="1">
        <f t="shared" si="28"/>
        <v>45841</v>
      </c>
      <c r="C91" s="45">
        <f>IF(LEFT(A91,1)="S","",VLOOKUP(B91,$AC$4:$AE$734,3)-'Quoting term rates'!$C$4)</f>
        <v>4.3299999999999998E-2</v>
      </c>
      <c r="D91">
        <f t="shared" si="29"/>
        <v>1.0105179455444133</v>
      </c>
      <c r="E91" s="45">
        <f t="shared" si="32"/>
        <v>4.3522533287227536E-2</v>
      </c>
      <c r="AC91" s="1">
        <f t="shared" si="27"/>
        <v>45841</v>
      </c>
      <c r="AD91">
        <f>IF(VLOOKUP(AC91,'FOMC exp '!$C$6:$C$22,1)=AC91,MATCH(AC91,'FOMC exp '!$C$6:$C$22,1),AD90)</f>
        <v>3</v>
      </c>
      <c r="AE91" s="18" cm="1">
        <f t="array" ref="AE91">INDEX('FOMC exp '!$C$6:$D$23,AD91,2)</f>
        <v>4.4999999999999998E-2</v>
      </c>
    </row>
    <row r="92" spans="1:31">
      <c r="A92" t="str">
        <f t="shared" si="26"/>
        <v>Friday</v>
      </c>
      <c r="B92" s="1">
        <f t="shared" si="28"/>
        <v>45842</v>
      </c>
      <c r="C92" s="45">
        <f>IF(LEFT(A92,1)="S","",VLOOKUP(B92,$AC$4:$AE$734,3)-'Quoting term rates'!$C$4)</f>
        <v>4.3299999999999998E-2</v>
      </c>
      <c r="D92">
        <f t="shared" si="29"/>
        <v>1.010639488397308</v>
      </c>
      <c r="E92" s="45">
        <f t="shared" si="32"/>
        <v>4.3525179807169072E-2</v>
      </c>
      <c r="AC92" s="1">
        <f t="shared" si="27"/>
        <v>45842</v>
      </c>
      <c r="AD92">
        <f>IF(VLOOKUP(AC92,'FOMC exp '!$C$6:$C$22,1)=AC92,MATCH(AC92,'FOMC exp '!$C$6:$C$22,1),AD91)</f>
        <v>3</v>
      </c>
      <c r="AE92" s="18" cm="1">
        <f t="array" ref="AE92">INDEX('FOMC exp '!$C$6:$D$23,AD92,2)</f>
        <v>4.4999999999999998E-2</v>
      </c>
    </row>
    <row r="93" spans="1:31">
      <c r="A93" t="str">
        <f t="shared" si="26"/>
        <v>Saturday</v>
      </c>
      <c r="B93" s="1">
        <f t="shared" si="28"/>
        <v>45843</v>
      </c>
      <c r="C93" s="45" t="str">
        <f>IF(LEFT(A93,1)="S","",VLOOKUP(B93,$AC$4:$AE$734,3)-'Quoting term rates'!$C$4)</f>
        <v/>
      </c>
      <c r="E93" s="45" t="str">
        <f t="shared" si="32"/>
        <v/>
      </c>
      <c r="AC93" s="1">
        <f t="shared" si="27"/>
        <v>45843</v>
      </c>
      <c r="AD93">
        <f>IF(VLOOKUP(AC93,'FOMC exp '!$C$6:$C$22,1)=AC93,MATCH(AC93,'FOMC exp '!$C$6:$C$22,1),AD92)</f>
        <v>3</v>
      </c>
      <c r="AE93" s="18" cm="1">
        <f t="array" ref="AE93">INDEX('FOMC exp '!$C$6:$D$23,AD93,2)</f>
        <v>4.4999999999999998E-2</v>
      </c>
    </row>
    <row r="94" spans="1:31">
      <c r="A94" t="str">
        <f t="shared" si="26"/>
        <v>Sunday</v>
      </c>
      <c r="B94" s="1">
        <f t="shared" si="28"/>
        <v>45844</v>
      </c>
      <c r="C94" s="45" t="str">
        <f>IF(LEFT(A94,1)="S","",VLOOKUP(B94,$AC$4:$AE$734,3)-'Quoting term rates'!$C$4)</f>
        <v/>
      </c>
      <c r="E94" s="45" t="str">
        <f t="shared" si="32"/>
        <v/>
      </c>
      <c r="AC94" s="1">
        <f t="shared" si="27"/>
        <v>45844</v>
      </c>
      <c r="AD94">
        <f>IF(VLOOKUP(AC94,'FOMC exp '!$C$6:$C$22,1)=AC94,MATCH(AC94,'FOMC exp '!$C$6:$C$22,1),AD93)</f>
        <v>3</v>
      </c>
      <c r="AE94" s="18" cm="1">
        <f t="array" ref="AE94">INDEX('FOMC exp '!$C$6:$D$23,AD94,2)</f>
        <v>4.4999999999999998E-2</v>
      </c>
    </row>
    <row r="95" spans="1:31">
      <c r="A95" t="str">
        <f t="shared" si="26"/>
        <v>Monday</v>
      </c>
      <c r="B95" s="1">
        <f t="shared" si="28"/>
        <v>45845</v>
      </c>
      <c r="C95" s="45">
        <f>IF(LEFT(A95,1)="S","",VLOOKUP(B95,$AC$4:$AE$734,3)-'Quoting term rates'!$C$4)</f>
        <v>4.3299999999999998E-2</v>
      </c>
      <c r="D95">
        <f>D92*(1+C92*3/360)</f>
        <v>1.0110041608127047</v>
      </c>
      <c r="E95" s="45">
        <f t="shared" si="32"/>
        <v>4.3532943874436264E-2</v>
      </c>
      <c r="AC95" s="1">
        <f t="shared" si="27"/>
        <v>45845</v>
      </c>
      <c r="AD95">
        <f>IF(VLOOKUP(AC95,'FOMC exp '!$C$6:$C$22,1)=AC95,MATCH(AC95,'FOMC exp '!$C$6:$C$22,1),AD94)</f>
        <v>3</v>
      </c>
      <c r="AE95" s="18" cm="1">
        <f t="array" ref="AE95">INDEX('FOMC exp '!$C$6:$D$23,AD95,2)</f>
        <v>4.4999999999999998E-2</v>
      </c>
    </row>
    <row r="96" spans="1:31">
      <c r="A96" t="str">
        <f t="shared" si="26"/>
        <v>Tuesday</v>
      </c>
      <c r="B96" s="1">
        <f t="shared" si="28"/>
        <v>45846</v>
      </c>
      <c r="C96" s="45">
        <f>IF(LEFT(A96,1)="S","",VLOOKUP(B96,$AC$4:$AE$734,3)-'Quoting term rates'!$C$4)</f>
        <v>4.3299999999999998E-2</v>
      </c>
      <c r="D96">
        <f t="shared" ref="D96" si="35">D95*(1+C95*1/360)</f>
        <v>1.0111257621464913</v>
      </c>
      <c r="E96" s="45">
        <f t="shared" si="32"/>
        <v>4.3535591008009446E-2</v>
      </c>
      <c r="AC96" s="1">
        <f t="shared" si="27"/>
        <v>45846</v>
      </c>
      <c r="AD96">
        <f>IF(VLOOKUP(AC96,'FOMC exp '!$C$6:$C$22,1)=AC96,MATCH(AC96,'FOMC exp '!$C$6:$C$22,1),AD95)</f>
        <v>3</v>
      </c>
      <c r="AE96" s="18" cm="1">
        <f t="array" ref="AE96">INDEX('FOMC exp '!$C$6:$D$23,AD96,2)</f>
        <v>4.4999999999999998E-2</v>
      </c>
    </row>
    <row r="97" spans="1:31">
      <c r="A97" t="str">
        <f t="shared" si="26"/>
        <v>Wednesday</v>
      </c>
      <c r="B97" s="1">
        <f t="shared" si="28"/>
        <v>45847</v>
      </c>
      <c r="C97" s="45">
        <f>IF(LEFT(A97,1)="S","",VLOOKUP(B97,$AC$4:$AE$734,3)-'Quoting term rates'!$C$4)</f>
        <v>4.3299999999999998E-2</v>
      </c>
      <c r="D97">
        <f t="shared" si="29"/>
        <v>1.0112473781062161</v>
      </c>
      <c r="E97" s="45">
        <f t="shared" si="32"/>
        <v>4.3538237830514019E-2</v>
      </c>
      <c r="AC97" s="1">
        <f t="shared" si="27"/>
        <v>45847</v>
      </c>
      <c r="AD97">
        <f>IF(VLOOKUP(AC97,'FOMC exp '!$C$6:$C$22,1)=AC97,MATCH(AC97,'FOMC exp '!$C$6:$C$22,1),AD96)</f>
        <v>3</v>
      </c>
      <c r="AE97" s="18" cm="1">
        <f t="array" ref="AE97">INDEX('FOMC exp '!$C$6:$D$23,AD97,2)</f>
        <v>4.4999999999999998E-2</v>
      </c>
    </row>
    <row r="98" spans="1:31">
      <c r="A98" t="str">
        <f t="shared" si="26"/>
        <v>Thursday</v>
      </c>
      <c r="B98" s="1">
        <f t="shared" si="28"/>
        <v>45848</v>
      </c>
      <c r="C98" s="45">
        <f>IF(LEFT(A98,1)="S","",VLOOKUP(B98,$AC$4:$AE$734,3)-'Quoting term rates'!$C$4)</f>
        <v>4.3299999999999998E-2</v>
      </c>
      <c r="D98">
        <f t="shared" si="29"/>
        <v>1.0113690086936384</v>
      </c>
      <c r="E98" s="45">
        <f t="shared" si="32"/>
        <v>4.3540884358615292E-2</v>
      </c>
      <c r="AC98" s="1">
        <f t="shared" si="27"/>
        <v>45848</v>
      </c>
      <c r="AD98">
        <f>IF(VLOOKUP(AC98,'FOMC exp '!$C$6:$C$22,1)=AC98,MATCH(AC98,'FOMC exp '!$C$6:$C$22,1),AD97)</f>
        <v>3</v>
      </c>
      <c r="AE98" s="18" cm="1">
        <f t="array" ref="AE98">INDEX('FOMC exp '!$C$6:$D$23,AD98,2)</f>
        <v>4.4999999999999998E-2</v>
      </c>
    </row>
    <row r="99" spans="1:31">
      <c r="A99" t="str">
        <f t="shared" si="26"/>
        <v>Friday</v>
      </c>
      <c r="B99" s="1">
        <f t="shared" si="28"/>
        <v>45849</v>
      </c>
      <c r="C99" s="45">
        <f>IF(LEFT(A99,1)="S","",VLOOKUP(B99,$AC$4:$AE$734,3)-'Quoting term rates'!$C$4)</f>
        <v>4.3299999999999998E-2</v>
      </c>
      <c r="D99">
        <f t="shared" si="29"/>
        <v>1.0114906539105175</v>
      </c>
      <c r="E99" s="45">
        <f t="shared" si="32"/>
        <v>4.3543530608276891E-2</v>
      </c>
      <c r="AC99" s="1">
        <f t="shared" si="27"/>
        <v>45849</v>
      </c>
      <c r="AD99">
        <f>IF(VLOOKUP(AC99,'FOMC exp '!$C$6:$C$22,1)=AC99,MATCH(AC99,'FOMC exp '!$C$6:$C$22,1),AD98)</f>
        <v>3</v>
      </c>
      <c r="AE99" s="18" cm="1">
        <f t="array" ref="AE99">INDEX('FOMC exp '!$C$6:$D$23,AD99,2)</f>
        <v>4.4999999999999998E-2</v>
      </c>
    </row>
    <row r="100" spans="1:31">
      <c r="A100" t="str">
        <f t="shared" si="26"/>
        <v>Saturday</v>
      </c>
      <c r="B100" s="1">
        <f t="shared" si="28"/>
        <v>45850</v>
      </c>
      <c r="C100" s="45" t="str">
        <f>IF(LEFT(A100,1)="S","",VLOOKUP(B100,$AC$4:$AE$734,3)-'Quoting term rates'!$C$4)</f>
        <v/>
      </c>
      <c r="E100" s="45" t="str">
        <f t="shared" si="32"/>
        <v/>
      </c>
      <c r="AC100" s="1">
        <f t="shared" si="27"/>
        <v>45850</v>
      </c>
      <c r="AD100">
        <f>IF(VLOOKUP(AC100,'FOMC exp '!$C$6:$C$22,1)=AC100,MATCH(AC100,'FOMC exp '!$C$6:$C$22,1),AD99)</f>
        <v>3</v>
      </c>
      <c r="AE100" s="18" cm="1">
        <f t="array" ref="AE100">INDEX('FOMC exp '!$C$6:$D$23,AD100,2)</f>
        <v>4.4999999999999998E-2</v>
      </c>
    </row>
    <row r="101" spans="1:31">
      <c r="A101" t="str">
        <f t="shared" si="26"/>
        <v>Sunday</v>
      </c>
      <c r="B101" s="1">
        <f t="shared" si="28"/>
        <v>45851</v>
      </c>
      <c r="C101" s="45" t="str">
        <f>IF(LEFT(A101,1)="S","",VLOOKUP(B101,$AC$4:$AE$734,3)-'Quoting term rates'!$C$4)</f>
        <v/>
      </c>
      <c r="E101" s="45" t="str">
        <f t="shared" si="32"/>
        <v/>
      </c>
      <c r="AC101" s="1">
        <f t="shared" si="27"/>
        <v>45851</v>
      </c>
      <c r="AD101">
        <f>IF(VLOOKUP(AC101,'FOMC exp '!$C$6:$C$22,1)=AC101,MATCH(AC101,'FOMC exp '!$C$6:$C$22,1),AD100)</f>
        <v>3</v>
      </c>
      <c r="AE101" s="18" cm="1">
        <f t="array" ref="AE101">INDEX('FOMC exp '!$C$6:$D$23,AD101,2)</f>
        <v>4.4999999999999998E-2</v>
      </c>
    </row>
    <row r="102" spans="1:31">
      <c r="A102" t="str">
        <f t="shared" si="26"/>
        <v>Monday</v>
      </c>
      <c r="B102" s="1">
        <f t="shared" si="28"/>
        <v>45852</v>
      </c>
      <c r="C102" s="45">
        <f>IF(LEFT(A102,1)="S","",VLOOKUP(B102,$AC$4:$AE$734,3)-'Quoting term rates'!$C$4)</f>
        <v>4.3299999999999998E-2</v>
      </c>
      <c r="D102">
        <f t="shared" ref="D102" si="36">D99*(1+C99*3/360)</f>
        <v>1.0118556334548037</v>
      </c>
      <c r="E102" s="45">
        <f t="shared" si="32"/>
        <v>4.3551306568666549E-2</v>
      </c>
      <c r="AC102" s="1">
        <f t="shared" si="27"/>
        <v>45852</v>
      </c>
      <c r="AD102">
        <f>IF(VLOOKUP(AC102,'FOMC exp '!$C$6:$C$22,1)=AC102,MATCH(AC102,'FOMC exp '!$C$6:$C$22,1),AD101)</f>
        <v>3</v>
      </c>
      <c r="AE102" s="18" cm="1">
        <f t="array" ref="AE102">INDEX('FOMC exp '!$C$6:$D$23,AD102,2)</f>
        <v>4.4999999999999998E-2</v>
      </c>
    </row>
    <row r="103" spans="1:31">
      <c r="A103" t="str">
        <f t="shared" si="26"/>
        <v>Tuesday</v>
      </c>
      <c r="B103" s="1">
        <f t="shared" si="28"/>
        <v>45853</v>
      </c>
      <c r="C103" s="45">
        <f>IF(LEFT(A103,1)="S","",VLOOKUP(B103,$AC$4:$AE$734,3)-'Quoting term rates'!$C$4)</f>
        <v>4.3299999999999998E-2</v>
      </c>
      <c r="D103">
        <f t="shared" ref="D103" si="37">D102*(1+C102*1/360)</f>
        <v>1.0119773372018275</v>
      </c>
      <c r="E103" s="45">
        <f t="shared" si="32"/>
        <v>4.3553953461190821E-2</v>
      </c>
      <c r="AC103" s="1">
        <f t="shared" si="27"/>
        <v>45853</v>
      </c>
      <c r="AD103">
        <f>IF(VLOOKUP(AC103,'FOMC exp '!$C$6:$C$22,1)=AC103,MATCH(AC103,'FOMC exp '!$C$6:$C$22,1),AD102)</f>
        <v>3</v>
      </c>
      <c r="AE103" s="18" cm="1">
        <f t="array" ref="AE103">INDEX('FOMC exp '!$C$6:$D$23,AD103,2)</f>
        <v>4.4999999999999998E-2</v>
      </c>
    </row>
    <row r="104" spans="1:31">
      <c r="A104" t="str">
        <f t="shared" si="26"/>
        <v>Wednesday</v>
      </c>
      <c r="B104" s="1">
        <f t="shared" si="28"/>
        <v>45854</v>
      </c>
      <c r="C104" s="45">
        <f>IF(LEFT(A104,1)="S","",VLOOKUP(B104,$AC$4:$AE$734,3)-'Quoting term rates'!$C$4)</f>
        <v>4.3299999999999998E-2</v>
      </c>
      <c r="D104">
        <f t="shared" si="29"/>
        <v>1.0120990555871077</v>
      </c>
      <c r="E104" s="45">
        <f t="shared" si="32"/>
        <v>4.3556600113587599E-2</v>
      </c>
      <c r="AC104" s="1">
        <f t="shared" si="27"/>
        <v>45854</v>
      </c>
      <c r="AD104">
        <f>IF(VLOOKUP(AC104,'FOMC exp '!$C$6:$C$22,1)=AC104,MATCH(AC104,'FOMC exp '!$C$6:$C$22,1),AD103)</f>
        <v>3</v>
      </c>
      <c r="AE104" s="18" cm="1">
        <f t="array" ref="AE104">INDEX('FOMC exp '!$C$6:$D$23,AD104,2)</f>
        <v>4.4999999999999998E-2</v>
      </c>
    </row>
    <row r="105" spans="1:31">
      <c r="A105" t="str">
        <f t="shared" si="26"/>
        <v>Thursday</v>
      </c>
      <c r="B105" s="1">
        <f t="shared" si="28"/>
        <v>45855</v>
      </c>
      <c r="C105" s="45">
        <f>IF(LEFT(A105,1)="S","",VLOOKUP(B105,$AC$4:$AE$734,3)-'Quoting term rates'!$C$4)</f>
        <v>4.3299999999999998E-2</v>
      </c>
      <c r="D105">
        <f t="shared" si="29"/>
        <v>1.0122207886124046</v>
      </c>
      <c r="E105" s="45">
        <f t="shared" si="32"/>
        <v>4.3559246539263956E-2</v>
      </c>
      <c r="AC105" s="1">
        <f t="shared" si="27"/>
        <v>45855</v>
      </c>
      <c r="AD105">
        <f>IF(VLOOKUP(AC105,'FOMC exp '!$C$6:$C$22,1)=AC105,MATCH(AC105,'FOMC exp '!$C$6:$C$22,1),AD104)</f>
        <v>3</v>
      </c>
      <c r="AE105" s="18" cm="1">
        <f t="array" ref="AE105">INDEX('FOMC exp '!$C$6:$D$23,AD105,2)</f>
        <v>4.4999999999999998E-2</v>
      </c>
    </row>
    <row r="106" spans="1:31">
      <c r="A106" t="str">
        <f t="shared" si="26"/>
        <v>Friday</v>
      </c>
      <c r="B106" s="1">
        <f t="shared" si="28"/>
        <v>45856</v>
      </c>
      <c r="C106" s="45">
        <f>IF(LEFT(A106,1)="S","",VLOOKUP(B106,$AC$4:$AE$734,3)-'Quoting term rates'!$C$4)</f>
        <v>4.3299999999999998E-2</v>
      </c>
      <c r="D106">
        <f t="shared" si="29"/>
        <v>1.0123425362794793</v>
      </c>
      <c r="E106" s="45">
        <f t="shared" si="32"/>
        <v>4.3561892751103566E-2</v>
      </c>
      <c r="AC106" s="1">
        <f t="shared" si="27"/>
        <v>45856</v>
      </c>
      <c r="AD106">
        <f>IF(VLOOKUP(AC106,'FOMC exp '!$C$6:$C$22,1)=AC106,MATCH(AC106,'FOMC exp '!$C$6:$C$22,1),AD105)</f>
        <v>3</v>
      </c>
      <c r="AE106" s="18" cm="1">
        <f t="array" ref="AE106">INDEX('FOMC exp '!$C$6:$D$23,AD106,2)</f>
        <v>4.4999999999999998E-2</v>
      </c>
    </row>
    <row r="107" spans="1:31">
      <c r="A107" t="str">
        <f t="shared" si="26"/>
        <v>Saturday</v>
      </c>
      <c r="B107" s="1">
        <f t="shared" si="28"/>
        <v>45857</v>
      </c>
      <c r="C107" s="45" t="str">
        <f>IF(LEFT(A107,1)="S","",VLOOKUP(B107,$AC$4:$AE$734,3)-'Quoting term rates'!$C$4)</f>
        <v/>
      </c>
      <c r="E107" s="45" t="str">
        <f t="shared" si="32"/>
        <v/>
      </c>
      <c r="AC107" s="1">
        <f t="shared" si="27"/>
        <v>45857</v>
      </c>
      <c r="AD107">
        <f>IF(VLOOKUP(AC107,'FOMC exp '!$C$6:$C$22,1)=AC107,MATCH(AC107,'FOMC exp '!$C$6:$C$22,1),AD106)</f>
        <v>3</v>
      </c>
      <c r="AE107" s="18" cm="1">
        <f t="array" ref="AE107">INDEX('FOMC exp '!$C$6:$D$23,AD107,2)</f>
        <v>4.4999999999999998E-2</v>
      </c>
    </row>
    <row r="108" spans="1:31">
      <c r="A108" t="str">
        <f t="shared" si="26"/>
        <v>Sunday</v>
      </c>
      <c r="B108" s="1">
        <f t="shared" si="28"/>
        <v>45858</v>
      </c>
      <c r="C108" s="45" t="str">
        <f>IF(LEFT(A108,1)="S","",VLOOKUP(B108,$AC$4:$AE$734,3)-'Quoting term rates'!$C$4)</f>
        <v/>
      </c>
      <c r="E108" s="45" t="str">
        <f t="shared" si="32"/>
        <v/>
      </c>
      <c r="AC108" s="1">
        <f t="shared" si="27"/>
        <v>45858</v>
      </c>
      <c r="AD108">
        <f>IF(VLOOKUP(AC108,'FOMC exp '!$C$6:$C$22,1)=AC108,MATCH(AC108,'FOMC exp '!$C$6:$C$22,1),AD107)</f>
        <v>3</v>
      </c>
      <c r="AE108" s="18" cm="1">
        <f t="array" ref="AE108">INDEX('FOMC exp '!$C$6:$D$23,AD108,2)</f>
        <v>4.4999999999999998E-2</v>
      </c>
    </row>
    <row r="109" spans="1:31">
      <c r="A109" t="str">
        <f t="shared" si="26"/>
        <v>Monday</v>
      </c>
      <c r="B109" s="1">
        <f t="shared" si="28"/>
        <v>45859</v>
      </c>
      <c r="C109" s="45">
        <f>IF(LEFT(A109,1)="S","",VLOOKUP(B109,$AC$4:$AE$734,3)-'Quoting term rates'!$C$4)</f>
        <v>4.3299999999999998E-2</v>
      </c>
      <c r="D109">
        <f t="shared" ref="D109" si="38">D106*(1+C106*3/360)</f>
        <v>1.0127078232113202</v>
      </c>
      <c r="E109" s="45">
        <f t="shared" si="32"/>
        <v>4.3569679581669414E-2</v>
      </c>
      <c r="AC109" s="1">
        <f t="shared" si="27"/>
        <v>45859</v>
      </c>
      <c r="AD109">
        <f>IF(VLOOKUP(AC109,'FOMC exp '!$C$6:$C$22,1)=AC109,MATCH(AC109,'FOMC exp '!$C$6:$C$22,1),AD108)</f>
        <v>3</v>
      </c>
      <c r="AE109" s="18" cm="1">
        <f t="array" ref="AE109">INDEX('FOMC exp '!$C$6:$D$23,AD109,2)</f>
        <v>4.4999999999999998E-2</v>
      </c>
    </row>
    <row r="110" spans="1:31">
      <c r="A110" t="str">
        <f t="shared" si="26"/>
        <v>Tuesday</v>
      </c>
      <c r="B110" s="1">
        <f t="shared" si="28"/>
        <v>45860</v>
      </c>
      <c r="C110" s="45">
        <f>IF(LEFT(A110,1)="S","",VLOOKUP(B110,$AC$4:$AE$734,3)-'Quoting term rates'!$C$4)</f>
        <v>4.3299999999999998E-2</v>
      </c>
      <c r="D110">
        <f t="shared" ref="D110" si="39">D109*(1+C109*1/360)</f>
        <v>1.0128296294578343</v>
      </c>
      <c r="E110" s="45">
        <f t="shared" si="32"/>
        <v>4.3572326460569251E-2</v>
      </c>
      <c r="AC110" s="1">
        <f t="shared" si="27"/>
        <v>45860</v>
      </c>
      <c r="AD110">
        <f>IF(VLOOKUP(AC110,'FOMC exp '!$C$6:$C$22,1)=AC110,MATCH(AC110,'FOMC exp '!$C$6:$C$22,1),AD109)</f>
        <v>3</v>
      </c>
      <c r="AE110" s="18" cm="1">
        <f t="array" ref="AE110">INDEX('FOMC exp '!$C$6:$D$23,AD110,2)</f>
        <v>4.4999999999999998E-2</v>
      </c>
    </row>
    <row r="111" spans="1:31">
      <c r="A111" t="str">
        <f t="shared" si="26"/>
        <v>Wednesday</v>
      </c>
      <c r="B111" s="1">
        <f t="shared" si="28"/>
        <v>45861</v>
      </c>
      <c r="C111" s="45">
        <f>IF(LEFT(A111,1)="S","",VLOOKUP(B111,$AC$4:$AE$734,3)-'Quoting term rates'!$C$4)</f>
        <v>4.3299999999999998E-2</v>
      </c>
      <c r="D111">
        <f t="shared" si="29"/>
        <v>1.0129514503549331</v>
      </c>
      <c r="E111" s="45">
        <f t="shared" si="32"/>
        <v>4.3574973156784123E-2</v>
      </c>
      <c r="AC111" s="1">
        <f t="shared" si="27"/>
        <v>45861</v>
      </c>
      <c r="AD111">
        <f>IF(VLOOKUP(AC111,'FOMC exp '!$C$6:$C$22,1)=AC111,MATCH(AC111,'FOMC exp '!$C$6:$C$22,1),AD110)</f>
        <v>3</v>
      </c>
      <c r="AE111" s="18" cm="1">
        <f t="array" ref="AE111">INDEX('FOMC exp '!$C$6:$D$23,AD111,2)</f>
        <v>4.4999999999999998E-2</v>
      </c>
    </row>
    <row r="112" spans="1:31">
      <c r="A112" t="str">
        <f t="shared" si="26"/>
        <v>Thursday</v>
      </c>
      <c r="B112" s="1">
        <f t="shared" si="28"/>
        <v>45862</v>
      </c>
      <c r="C112" s="45">
        <f>IF(LEFT(A112,1)="S","",VLOOKUP(B112,$AC$4:$AE$734,3)-'Quoting term rates'!$C$4)</f>
        <v>4.3299999999999998E-2</v>
      </c>
      <c r="D112">
        <f t="shared" si="29"/>
        <v>1.0130732859043785</v>
      </c>
      <c r="E112" s="45">
        <f t="shared" si="32"/>
        <v>4.3577619681261691E-2</v>
      </c>
      <c r="AC112" s="1">
        <f t="shared" si="27"/>
        <v>45862</v>
      </c>
      <c r="AD112">
        <f>IF(VLOOKUP(AC112,'FOMC exp '!$C$6:$C$22,1)=AC112,MATCH(AC112,'FOMC exp '!$C$6:$C$22,1),AD111)</f>
        <v>3</v>
      </c>
      <c r="AE112" s="18" cm="1">
        <f t="array" ref="AE112">INDEX('FOMC exp '!$C$6:$D$23,AD112,2)</f>
        <v>4.4999999999999998E-2</v>
      </c>
    </row>
    <row r="113" spans="1:31">
      <c r="A113" t="str">
        <f t="shared" si="26"/>
        <v>Friday</v>
      </c>
      <c r="B113" s="1">
        <f t="shared" si="28"/>
        <v>45863</v>
      </c>
      <c r="C113" s="45">
        <f>IF(LEFT(A113,1)="S","",VLOOKUP(B113,$AC$4:$AE$734,3)-'Quoting term rates'!$C$4)</f>
        <v>4.3299999999999998E-2</v>
      </c>
      <c r="D113">
        <f t="shared" si="29"/>
        <v>1.0131951361079332</v>
      </c>
      <c r="E113" s="45">
        <f t="shared" si="32"/>
        <v>4.3580266044550064E-2</v>
      </c>
      <c r="AC113" s="1">
        <f t="shared" si="27"/>
        <v>45863</v>
      </c>
      <c r="AD113">
        <f>IF(VLOOKUP(AC113,'FOMC exp '!$C$6:$C$22,1)=AC113,MATCH(AC113,'FOMC exp '!$C$6:$C$22,1),AD112)</f>
        <v>3</v>
      </c>
      <c r="AE113" s="18" cm="1">
        <f t="array" ref="AE113">INDEX('FOMC exp '!$C$6:$D$23,AD113,2)</f>
        <v>4.4999999999999998E-2</v>
      </c>
    </row>
    <row r="114" spans="1:31">
      <c r="A114" t="str">
        <f t="shared" si="26"/>
        <v>Saturday</v>
      </c>
      <c r="B114" s="1">
        <f t="shared" si="28"/>
        <v>45864</v>
      </c>
      <c r="C114" s="45" t="str">
        <f>IF(LEFT(A114,1)="S","",VLOOKUP(B114,$AC$4:$AE$734,3)-'Quoting term rates'!$C$4)</f>
        <v/>
      </c>
      <c r="E114" s="45" t="str">
        <f t="shared" si="32"/>
        <v/>
      </c>
      <c r="AC114" s="1">
        <f t="shared" si="27"/>
        <v>45864</v>
      </c>
      <c r="AD114">
        <f>IF(VLOOKUP(AC114,'FOMC exp '!$C$6:$C$22,1)=AC114,MATCH(AC114,'FOMC exp '!$C$6:$C$22,1),AD113)</f>
        <v>3</v>
      </c>
      <c r="AE114" s="18" cm="1">
        <f t="array" ref="AE114">INDEX('FOMC exp '!$C$6:$D$23,AD114,2)</f>
        <v>4.4999999999999998E-2</v>
      </c>
    </row>
    <row r="115" spans="1:31">
      <c r="A115" t="str">
        <f t="shared" si="26"/>
        <v>Sunday</v>
      </c>
      <c r="B115" s="1">
        <f t="shared" si="28"/>
        <v>45865</v>
      </c>
      <c r="C115" s="45" t="str">
        <f>IF(LEFT(A115,1)="S","",VLOOKUP(B115,$AC$4:$AE$734,3)-'Quoting term rates'!$C$4)</f>
        <v/>
      </c>
      <c r="E115" s="45" t="str">
        <f t="shared" si="32"/>
        <v/>
      </c>
      <c r="AC115" s="1">
        <f t="shared" si="27"/>
        <v>45865</v>
      </c>
      <c r="AD115">
        <f>IF(VLOOKUP(AC115,'FOMC exp '!$C$6:$C$22,1)=AC115,MATCH(AC115,'FOMC exp '!$C$6:$C$22,1),AD114)</f>
        <v>3</v>
      </c>
      <c r="AE115" s="18" cm="1">
        <f t="array" ref="AE115">INDEX('FOMC exp '!$C$6:$D$23,AD115,2)</f>
        <v>4.4999999999999998E-2</v>
      </c>
    </row>
    <row r="116" spans="1:31">
      <c r="A116" t="str">
        <f t="shared" si="26"/>
        <v>Monday</v>
      </c>
      <c r="B116" s="1">
        <f t="shared" si="28"/>
        <v>45866</v>
      </c>
      <c r="C116" s="45">
        <f>IF(LEFT(A116,1)="S","",VLOOKUP(B116,$AC$4:$AE$734,3)-'Quoting term rates'!$C$4)</f>
        <v>4.3299999999999998E-2</v>
      </c>
      <c r="D116">
        <f t="shared" ref="D116" si="40">D113*(1+C113*3/360)</f>
        <v>1.0135607306862122</v>
      </c>
      <c r="E116" s="45">
        <f t="shared" si="32"/>
        <v>4.3588062919967849E-2</v>
      </c>
      <c r="AC116" s="1">
        <f t="shared" si="27"/>
        <v>45866</v>
      </c>
      <c r="AD116">
        <f>IF(VLOOKUP(AC116,'FOMC exp '!$C$6:$C$22,1)=AC116,MATCH(AC116,'FOMC exp '!$C$6:$C$22,1),AD115)</f>
        <v>3</v>
      </c>
      <c r="AE116" s="18" cm="1">
        <f t="array" ref="AE116">INDEX('FOMC exp '!$C$6:$D$23,AD116,2)</f>
        <v>4.4999999999999998E-2</v>
      </c>
    </row>
    <row r="117" spans="1:31">
      <c r="A117" t="str">
        <f t="shared" si="26"/>
        <v>Tuesday</v>
      </c>
      <c r="B117" s="1">
        <f t="shared" si="28"/>
        <v>45867</v>
      </c>
      <c r="C117" s="45">
        <f>IF(LEFT(A117,1)="S","",VLOOKUP(B117,$AC$4:$AE$734,3)-'Quoting term rates'!$C$4)</f>
        <v>4.3299999999999998E-2</v>
      </c>
      <c r="D117">
        <f t="shared" ref="D117" si="41">D116*(1+C116*1/360)</f>
        <v>1.0136826395185421</v>
      </c>
      <c r="E117" s="45">
        <f t="shared" si="32"/>
        <v>4.3590709970576583E-2</v>
      </c>
      <c r="AC117" s="1">
        <f t="shared" si="27"/>
        <v>45867</v>
      </c>
      <c r="AD117">
        <f>IF(VLOOKUP(AC117,'FOMC exp '!$C$6:$C$22,1)=AC117,MATCH(AC117,'FOMC exp '!$C$6:$C$22,1),AD116)</f>
        <v>3</v>
      </c>
      <c r="AE117" s="18" cm="1">
        <f t="array" ref="AE117">INDEX('FOMC exp '!$C$6:$D$23,AD117,2)</f>
        <v>4.4999999999999998E-2</v>
      </c>
    </row>
    <row r="118" spans="1:31">
      <c r="A118" t="str">
        <f t="shared" si="26"/>
        <v>Wednesday</v>
      </c>
      <c r="B118" s="1">
        <f t="shared" si="28"/>
        <v>45868</v>
      </c>
      <c r="C118" s="45">
        <f>IF(LEFT(A118,1)="S","",VLOOKUP(B118,$AC$4:$AE$734,3)-'Quoting term rates'!$C$4)</f>
        <v>4.3299999999999998E-2</v>
      </c>
      <c r="D118">
        <f t="shared" si="29"/>
        <v>1.0138045630137953</v>
      </c>
      <c r="E118" s="45">
        <f t="shared" si="32"/>
        <v>4.3593356885669336E-2</v>
      </c>
      <c r="AC118" s="1">
        <f t="shared" si="27"/>
        <v>45868</v>
      </c>
      <c r="AD118">
        <f>IF(VLOOKUP(AC118,'FOMC exp '!$C$6:$C$22,1)=AC118,MATCH(AC118,'FOMC exp '!$C$6:$C$22,1),AD117)</f>
        <v>4</v>
      </c>
      <c r="AE118" s="18" cm="1">
        <f t="array" ref="AE118">INDEX('FOMC exp '!$C$6:$D$23,AD118,2)</f>
        <v>4.4999999999999998E-2</v>
      </c>
    </row>
    <row r="119" spans="1:31">
      <c r="A119" t="str">
        <f t="shared" si="26"/>
        <v>Thursday</v>
      </c>
      <c r="B119" s="1">
        <f t="shared" si="28"/>
        <v>45869</v>
      </c>
      <c r="C119" s="45">
        <f>IF(LEFT(A119,1)="S","",VLOOKUP(B119,$AC$4:$AE$734,3)-'Quoting term rates'!$C$4)</f>
        <v>4.3299999999999998E-2</v>
      </c>
      <c r="D119">
        <f t="shared" si="29"/>
        <v>1.0139265011737355</v>
      </c>
      <c r="E119" s="45">
        <f t="shared" si="32"/>
        <v>4.3596003674302455E-2</v>
      </c>
      <c r="AC119" s="1">
        <f t="shared" si="27"/>
        <v>45869</v>
      </c>
      <c r="AD119">
        <f>IF(VLOOKUP(AC119,'FOMC exp '!$C$6:$C$22,1)=AC119,MATCH(AC119,'FOMC exp '!$C$6:$C$22,1),AD118)</f>
        <v>4</v>
      </c>
      <c r="AE119" s="18" cm="1">
        <f t="array" ref="AE119">INDEX('FOMC exp '!$C$6:$D$23,AD119,2)</f>
        <v>4.4999999999999998E-2</v>
      </c>
    </row>
    <row r="120" spans="1:31">
      <c r="A120" t="str">
        <f t="shared" si="26"/>
        <v>Friday</v>
      </c>
      <c r="B120" s="1">
        <f t="shared" si="28"/>
        <v>45870</v>
      </c>
      <c r="C120" s="45">
        <f>IF(LEFT(A120,1)="S","",VLOOKUP(B120,$AC$4:$AE$734,3)-'Quoting term rates'!$C$4)</f>
        <v>4.3299999999999998E-2</v>
      </c>
      <c r="D120">
        <f t="shared" si="29"/>
        <v>1.0140484540001267</v>
      </c>
      <c r="E120" s="45">
        <f t="shared" si="32"/>
        <v>4.3598650345220681E-2</v>
      </c>
      <c r="AC120" s="1">
        <f t="shared" si="27"/>
        <v>45870</v>
      </c>
      <c r="AD120">
        <f>IF(VLOOKUP(AC120,'FOMC exp '!$C$6:$C$22,1)=AC120,MATCH(AC120,'FOMC exp '!$C$6:$C$22,1),AD119)</f>
        <v>4</v>
      </c>
      <c r="AE120" s="18" cm="1">
        <f t="array" ref="AE120">INDEX('FOMC exp '!$C$6:$D$23,AD120,2)</f>
        <v>4.4999999999999998E-2</v>
      </c>
    </row>
    <row r="121" spans="1:31">
      <c r="A121" t="str">
        <f t="shared" si="26"/>
        <v>Saturday</v>
      </c>
      <c r="B121" s="1">
        <f t="shared" si="28"/>
        <v>45871</v>
      </c>
      <c r="C121" s="45" t="str">
        <f>IF(LEFT(A121,1)="S","",VLOOKUP(B121,$AC$4:$AE$734,3)-'Quoting term rates'!$C$4)</f>
        <v/>
      </c>
      <c r="E121" s="45" t="str">
        <f t="shared" si="32"/>
        <v/>
      </c>
      <c r="AC121" s="1">
        <f t="shared" si="27"/>
        <v>45871</v>
      </c>
      <c r="AD121">
        <f>IF(VLOOKUP(AC121,'FOMC exp '!$C$6:$C$22,1)=AC121,MATCH(AC121,'FOMC exp '!$C$6:$C$22,1),AD120)</f>
        <v>4</v>
      </c>
      <c r="AE121" s="18" cm="1">
        <f t="array" ref="AE121">INDEX('FOMC exp '!$C$6:$D$23,AD121,2)</f>
        <v>4.4999999999999998E-2</v>
      </c>
    </row>
    <row r="122" spans="1:31">
      <c r="A122" t="str">
        <f t="shared" si="26"/>
        <v>Sunday</v>
      </c>
      <c r="B122" s="1">
        <f t="shared" si="28"/>
        <v>45872</v>
      </c>
      <c r="C122" s="45" t="str">
        <f>IF(LEFT(A122,1)="S","",VLOOKUP(B122,$AC$4:$AE$734,3)-'Quoting term rates'!$C$4)</f>
        <v/>
      </c>
      <c r="E122" s="45" t="str">
        <f t="shared" si="32"/>
        <v/>
      </c>
      <c r="AC122" s="1">
        <f t="shared" si="27"/>
        <v>45872</v>
      </c>
      <c r="AD122">
        <f>IF(VLOOKUP(AC122,'FOMC exp '!$C$6:$C$22,1)=AC122,MATCH(AC122,'FOMC exp '!$C$6:$C$22,1),AD121)</f>
        <v>4</v>
      </c>
      <c r="AE122" s="18" cm="1">
        <f t="array" ref="AE122">INDEX('FOMC exp '!$C$6:$D$23,AD122,2)</f>
        <v>4.4999999999999998E-2</v>
      </c>
    </row>
    <row r="123" spans="1:31">
      <c r="A123" t="str">
        <f t="shared" si="26"/>
        <v>Monday</v>
      </c>
      <c r="B123" s="1">
        <f t="shared" si="28"/>
        <v>45873</v>
      </c>
      <c r="C123" s="45">
        <f>IF(LEFT(A123,1)="S","",VLOOKUP(B123,$AC$4:$AE$734,3)-'Quoting term rates'!$C$4)</f>
        <v>4.3299999999999998E-2</v>
      </c>
      <c r="D123">
        <f t="shared" ref="D123" si="42">D120*(1+C120*3/360)</f>
        <v>1.0144143564839452</v>
      </c>
      <c r="E123" s="45">
        <f t="shared" si="32"/>
        <v>4.3606456590086252E-2</v>
      </c>
      <c r="AC123" s="1">
        <f t="shared" si="27"/>
        <v>45873</v>
      </c>
      <c r="AD123">
        <f>IF(VLOOKUP(AC123,'FOMC exp '!$C$6:$C$22,1)=AC123,MATCH(AC123,'FOMC exp '!$C$6:$C$22,1),AD122)</f>
        <v>4</v>
      </c>
      <c r="AE123" s="18" cm="1">
        <f t="array" ref="AE123">INDEX('FOMC exp '!$C$6:$D$23,AD123,2)</f>
        <v>4.4999999999999998E-2</v>
      </c>
    </row>
    <row r="124" spans="1:31">
      <c r="A124" t="str">
        <f t="shared" si="26"/>
        <v>Tuesday</v>
      </c>
      <c r="B124" s="1">
        <f t="shared" si="28"/>
        <v>45874</v>
      </c>
      <c r="C124" s="45">
        <f>IF(LEFT(A124,1)="S","",VLOOKUP(B124,$AC$4:$AE$734,3)-'Quoting term rates'!$C$4)</f>
        <v>4.3299999999999998E-2</v>
      </c>
      <c r="D124">
        <f t="shared" ref="D124" si="43">D123*(1+C123*1/360)</f>
        <v>1.0145363679884889</v>
      </c>
      <c r="E124" s="45">
        <f t="shared" si="32"/>
        <v>4.3609103965466689E-2</v>
      </c>
      <c r="AC124" s="1">
        <f t="shared" si="27"/>
        <v>45874</v>
      </c>
      <c r="AD124">
        <f>IF(VLOOKUP(AC124,'FOMC exp '!$C$6:$C$22,1)=AC124,MATCH(AC124,'FOMC exp '!$C$6:$C$22,1),AD123)</f>
        <v>4</v>
      </c>
      <c r="AE124" s="18" cm="1">
        <f t="array" ref="AE124">INDEX('FOMC exp '!$C$6:$D$23,AD124,2)</f>
        <v>4.4999999999999998E-2</v>
      </c>
    </row>
    <row r="125" spans="1:31">
      <c r="A125" t="str">
        <f t="shared" si="26"/>
        <v>Wednesday</v>
      </c>
      <c r="B125" s="1">
        <f t="shared" si="28"/>
        <v>45875</v>
      </c>
      <c r="C125" s="45">
        <f>IF(LEFT(A125,1)="S","",VLOOKUP(B125,$AC$4:$AE$734,3)-'Quoting term rates'!$C$4)</f>
        <v>4.3299999999999998E-2</v>
      </c>
      <c r="D125">
        <f t="shared" si="29"/>
        <v>1.0146583941683054</v>
      </c>
      <c r="E125" s="45">
        <f t="shared" si="32"/>
        <v>4.3611751244544958E-2</v>
      </c>
      <c r="AC125" s="1">
        <f t="shared" si="27"/>
        <v>45875</v>
      </c>
      <c r="AD125">
        <f>IF(VLOOKUP(AC125,'FOMC exp '!$C$6:$C$22,1)=AC125,MATCH(AC125,'FOMC exp '!$C$6:$C$22,1),AD124)</f>
        <v>4</v>
      </c>
      <c r="AE125" s="18" cm="1">
        <f t="array" ref="AE125">INDEX('FOMC exp '!$C$6:$D$23,AD125,2)</f>
        <v>4.4999999999999998E-2</v>
      </c>
    </row>
    <row r="126" spans="1:31">
      <c r="A126" t="str">
        <f t="shared" si="26"/>
        <v>Thursday</v>
      </c>
      <c r="B126" s="1">
        <f t="shared" si="28"/>
        <v>45876</v>
      </c>
      <c r="C126" s="45">
        <f>IF(LEFT(A126,1)="S","",VLOOKUP(B126,$AC$4:$AE$734,3)-'Quoting term rates'!$C$4)</f>
        <v>4.3299999999999998E-2</v>
      </c>
      <c r="D126">
        <f t="shared" si="29"/>
        <v>1.0147804350251595</v>
      </c>
      <c r="E126" s="45">
        <f t="shared" si="32"/>
        <v>4.3614398434896784E-2</v>
      </c>
      <c r="AC126" s="1">
        <f t="shared" si="27"/>
        <v>45876</v>
      </c>
      <c r="AD126">
        <f>IF(VLOOKUP(AC126,'FOMC exp '!$C$6:$C$22,1)=AC126,MATCH(AC126,'FOMC exp '!$C$6:$C$22,1),AD125)</f>
        <v>4</v>
      </c>
      <c r="AE126" s="18" cm="1">
        <f t="array" ref="AE126">INDEX('FOMC exp '!$C$6:$D$23,AD126,2)</f>
        <v>4.4999999999999998E-2</v>
      </c>
    </row>
    <row r="127" spans="1:31">
      <c r="A127" t="str">
        <f t="shared" si="26"/>
        <v>Friday</v>
      </c>
      <c r="B127" s="1">
        <f t="shared" si="28"/>
        <v>45877</v>
      </c>
      <c r="C127" s="45">
        <f>IF(LEFT(A127,1)="S","",VLOOKUP(B127,$AC$4:$AE$734,3)-'Quoting term rates'!$C$4)</f>
        <v>4.3299999999999998E-2</v>
      </c>
      <c r="D127">
        <f t="shared" si="29"/>
        <v>1.0149024905608166</v>
      </c>
      <c r="E127" s="45">
        <f t="shared" si="32"/>
        <v>4.3617045543853483E-2</v>
      </c>
      <c r="AC127" s="1">
        <f t="shared" si="27"/>
        <v>45877</v>
      </c>
      <c r="AD127">
        <f>IF(VLOOKUP(AC127,'FOMC exp '!$C$6:$C$22,1)=AC127,MATCH(AC127,'FOMC exp '!$C$6:$C$22,1),AD126)</f>
        <v>4</v>
      </c>
      <c r="AE127" s="18" cm="1">
        <f t="array" ref="AE127">INDEX('FOMC exp '!$C$6:$D$23,AD127,2)</f>
        <v>4.4999999999999998E-2</v>
      </c>
    </row>
    <row r="128" spans="1:31">
      <c r="A128" t="str">
        <f t="shared" si="26"/>
        <v>Saturday</v>
      </c>
      <c r="B128" s="1">
        <f t="shared" si="28"/>
        <v>45878</v>
      </c>
      <c r="C128" s="45" t="str">
        <f>IF(LEFT(A128,1)="S","",VLOOKUP(B128,$AC$4:$AE$734,3)-'Quoting term rates'!$C$4)</f>
        <v/>
      </c>
      <c r="E128" s="45" t="str">
        <f t="shared" si="32"/>
        <v/>
      </c>
      <c r="AC128" s="1">
        <f t="shared" si="27"/>
        <v>45878</v>
      </c>
      <c r="AD128">
        <f>IF(VLOOKUP(AC128,'FOMC exp '!$C$6:$C$22,1)=AC128,MATCH(AC128,'FOMC exp '!$C$6:$C$22,1),AD127)</f>
        <v>4</v>
      </c>
      <c r="AE128" s="18" cm="1">
        <f t="array" ref="AE128">INDEX('FOMC exp '!$C$6:$D$23,AD128,2)</f>
        <v>4.4999999999999998E-2</v>
      </c>
    </row>
    <row r="129" spans="1:31">
      <c r="A129" t="str">
        <f t="shared" si="26"/>
        <v>Sunday</v>
      </c>
      <c r="B129" s="1">
        <f t="shared" si="28"/>
        <v>45879</v>
      </c>
      <c r="C129" s="45" t="str">
        <f>IF(LEFT(A129,1)="S","",VLOOKUP(B129,$AC$4:$AE$734,3)-'Quoting term rates'!$C$4)</f>
        <v/>
      </c>
      <c r="E129" s="45" t="str">
        <f t="shared" si="32"/>
        <v/>
      </c>
      <c r="AC129" s="1">
        <f t="shared" si="27"/>
        <v>45879</v>
      </c>
      <c r="AD129">
        <f>IF(VLOOKUP(AC129,'FOMC exp '!$C$6:$C$22,1)=AC129,MATCH(AC129,'FOMC exp '!$C$6:$C$22,1),AD128)</f>
        <v>4</v>
      </c>
      <c r="AE129" s="18" cm="1">
        <f t="array" ref="AE129">INDEX('FOMC exp '!$C$6:$D$23,AD129,2)</f>
        <v>4.4999999999999998E-2</v>
      </c>
    </row>
    <row r="130" spans="1:31">
      <c r="A130" t="str">
        <f t="shared" si="26"/>
        <v>Monday</v>
      </c>
      <c r="B130" s="1">
        <f t="shared" si="28"/>
        <v>45880</v>
      </c>
      <c r="C130" s="45">
        <f>IF(LEFT(A130,1)="S","",VLOOKUP(B130,$AC$4:$AE$734,3)-'Quoting term rates'!$C$4)</f>
        <v>4.3299999999999998E-2</v>
      </c>
      <c r="D130">
        <f t="shared" ref="D130" si="44">D127*(1+C127*3/360)</f>
        <v>1.0152687012094941</v>
      </c>
      <c r="E130" s="45">
        <f t="shared" si="32"/>
        <v>4.3624860598554527E-2</v>
      </c>
      <c r="AC130" s="1">
        <f t="shared" si="27"/>
        <v>45880</v>
      </c>
      <c r="AD130">
        <f>IF(VLOOKUP(AC130,'FOMC exp '!$C$6:$C$22,1)=AC130,MATCH(AC130,'FOMC exp '!$C$6:$C$22,1),AD129)</f>
        <v>4</v>
      </c>
      <c r="AE130" s="18" cm="1">
        <f t="array" ref="AE130">INDEX('FOMC exp '!$C$6:$D$23,AD130,2)</f>
        <v>4.4999999999999998E-2</v>
      </c>
    </row>
    <row r="131" spans="1:31">
      <c r="A131" t="str">
        <f t="shared" si="26"/>
        <v>Tuesday</v>
      </c>
      <c r="B131" s="1">
        <f t="shared" si="28"/>
        <v>45881</v>
      </c>
      <c r="C131" s="45">
        <f>IF(LEFT(A131,1)="S","",VLOOKUP(B131,$AC$4:$AE$734,3)-'Quoting term rates'!$C$4)</f>
        <v>4.3299999999999998E-2</v>
      </c>
      <c r="D131">
        <f t="shared" ref="D131" si="45">D130*(1+C130*1/360)</f>
        <v>1.0153908154727229</v>
      </c>
      <c r="E131" s="45">
        <f t="shared" si="32"/>
        <v>4.3627508426616148E-2</v>
      </c>
      <c r="AC131" s="1">
        <f t="shared" si="27"/>
        <v>45881</v>
      </c>
      <c r="AD131">
        <f>IF(VLOOKUP(AC131,'FOMC exp '!$C$6:$C$22,1)=AC131,MATCH(AC131,'FOMC exp '!$C$6:$C$22,1),AD130)</f>
        <v>4</v>
      </c>
      <c r="AE131" s="18" cm="1">
        <f t="array" ref="AE131">INDEX('FOMC exp '!$C$6:$D$23,AD131,2)</f>
        <v>4.4999999999999998E-2</v>
      </c>
    </row>
    <row r="132" spans="1:31">
      <c r="A132" t="str">
        <f t="shared" si="26"/>
        <v>Wednesday</v>
      </c>
      <c r="B132" s="1">
        <f t="shared" si="28"/>
        <v>45882</v>
      </c>
      <c r="C132" s="45">
        <f>IF(LEFT(A132,1)="S","",VLOOKUP(B132,$AC$4:$AE$734,3)-'Quoting term rates'!$C$4)</f>
        <v>4.3299999999999998E-2</v>
      </c>
      <c r="D132">
        <f t="shared" si="29"/>
        <v>1.015512944423584</v>
      </c>
      <c r="E132" s="45">
        <f t="shared" si="32"/>
        <v>4.3630156191329927E-2</v>
      </c>
      <c r="AC132" s="1">
        <f t="shared" si="27"/>
        <v>45882</v>
      </c>
      <c r="AD132">
        <f>IF(VLOOKUP(AC132,'FOMC exp '!$C$6:$C$22,1)=AC132,MATCH(AC132,'FOMC exp '!$C$6:$C$22,1),AD131)</f>
        <v>4</v>
      </c>
      <c r="AE132" s="18" cm="1">
        <f t="array" ref="AE132">INDEX('FOMC exp '!$C$6:$D$23,AD132,2)</f>
        <v>4.4999999999999998E-2</v>
      </c>
    </row>
    <row r="133" spans="1:31">
      <c r="A133" t="str">
        <f t="shared" ref="A133:A196" si="46">VLOOKUP(WEEKDAY(B133,2),$Z$2:$AA$8,2)</f>
        <v>Thursday</v>
      </c>
      <c r="B133" s="1">
        <f t="shared" si="28"/>
        <v>45883</v>
      </c>
      <c r="C133" s="45">
        <f>IF(LEFT(A133,1)="S","",VLOOKUP(B133,$AC$4:$AE$734,3)-'Quoting term rates'!$C$4)</f>
        <v>4.3299999999999998E-2</v>
      </c>
      <c r="D133">
        <f t="shared" si="29"/>
        <v>1.0156350880638438</v>
      </c>
      <c r="E133" s="45">
        <f t="shared" si="32"/>
        <v>4.3632803899099085E-2</v>
      </c>
      <c r="AC133" s="1">
        <f t="shared" ref="AC133:AC196" si="47">B133</f>
        <v>45883</v>
      </c>
      <c r="AD133">
        <f>IF(VLOOKUP(AC133,'FOMC exp '!$C$6:$C$22,1)=AC133,MATCH(AC133,'FOMC exp '!$C$6:$C$22,1),AD132)</f>
        <v>4</v>
      </c>
      <c r="AE133" s="18" cm="1">
        <f t="array" ref="AE133">INDEX('FOMC exp '!$C$6:$D$23,AD133,2)</f>
        <v>4.4999999999999998E-2</v>
      </c>
    </row>
    <row r="134" spans="1:31">
      <c r="A134" t="str">
        <f t="shared" si="46"/>
        <v>Friday</v>
      </c>
      <c r="B134" s="1">
        <f t="shared" ref="B134:B197" si="48">B133+1</f>
        <v>45884</v>
      </c>
      <c r="C134" s="45">
        <f>IF(LEFT(A134,1)="S","",VLOOKUP(B134,$AC$4:$AE$734,3)-'Quoting term rates'!$C$4)</f>
        <v>4.3299999999999998E-2</v>
      </c>
      <c r="D134">
        <f t="shared" ref="D134:D197" si="49">D133*(1+C133*1/360)</f>
        <v>1.0157572463952693</v>
      </c>
      <c r="E134" s="45">
        <f t="shared" si="32"/>
        <v>4.3635451556130425E-2</v>
      </c>
      <c r="AC134" s="1">
        <f t="shared" si="47"/>
        <v>45884</v>
      </c>
      <c r="AD134">
        <f>IF(VLOOKUP(AC134,'FOMC exp '!$C$6:$C$22,1)=AC134,MATCH(AC134,'FOMC exp '!$C$6:$C$22,1),AD133)</f>
        <v>4</v>
      </c>
      <c r="AE134" s="18" cm="1">
        <f t="array" ref="AE134">INDEX('FOMC exp '!$C$6:$D$23,AD134,2)</f>
        <v>4.4999999999999998E-2</v>
      </c>
    </row>
    <row r="135" spans="1:31">
      <c r="A135" t="str">
        <f t="shared" si="46"/>
        <v>Saturday</v>
      </c>
      <c r="B135" s="1">
        <f t="shared" si="48"/>
        <v>45885</v>
      </c>
      <c r="C135" s="45" t="str">
        <f>IF(LEFT(A135,1)="S","",VLOOKUP(B135,$AC$4:$AE$734,3)-'Quoting term rates'!$C$4)</f>
        <v/>
      </c>
      <c r="E135" s="45" t="str">
        <f t="shared" si="32"/>
        <v/>
      </c>
      <c r="AC135" s="1">
        <f t="shared" si="47"/>
        <v>45885</v>
      </c>
      <c r="AD135">
        <f>IF(VLOOKUP(AC135,'FOMC exp '!$C$6:$C$22,1)=AC135,MATCH(AC135,'FOMC exp '!$C$6:$C$22,1),AD134)</f>
        <v>4</v>
      </c>
      <c r="AE135" s="18" cm="1">
        <f t="array" ref="AE135">INDEX('FOMC exp '!$C$6:$D$23,AD135,2)</f>
        <v>4.4999999999999998E-2</v>
      </c>
    </row>
    <row r="136" spans="1:31">
      <c r="A136" t="str">
        <f t="shared" si="46"/>
        <v>Sunday</v>
      </c>
      <c r="B136" s="1">
        <f t="shared" si="48"/>
        <v>45886</v>
      </c>
      <c r="C136" s="45" t="str">
        <f>IF(LEFT(A136,1)="S","",VLOOKUP(B136,$AC$4:$AE$734,3)-'Quoting term rates'!$C$4)</f>
        <v/>
      </c>
      <c r="E136" s="45" t="str">
        <f t="shared" si="32"/>
        <v/>
      </c>
      <c r="AC136" s="1">
        <f t="shared" si="47"/>
        <v>45886</v>
      </c>
      <c r="AD136">
        <f>IF(VLOOKUP(AC136,'FOMC exp '!$C$6:$C$22,1)=AC136,MATCH(AC136,'FOMC exp '!$C$6:$C$22,1),AD135)</f>
        <v>4</v>
      </c>
      <c r="AE136" s="18" cm="1">
        <f t="array" ref="AE136">INDEX('FOMC exp '!$C$6:$D$23,AD136,2)</f>
        <v>4.4999999999999998E-2</v>
      </c>
    </row>
    <row r="137" spans="1:31">
      <c r="A137" t="str">
        <f t="shared" si="46"/>
        <v>Monday</v>
      </c>
      <c r="B137" s="1">
        <f t="shared" si="48"/>
        <v>45887</v>
      </c>
      <c r="C137" s="45">
        <f>IF(LEFT(A137,1)="S","",VLOOKUP(B137,$AC$4:$AE$734,3)-'Quoting term rates'!$C$4)</f>
        <v>4.3299999999999998E-2</v>
      </c>
      <c r="D137">
        <f t="shared" ref="D137" si="50">D134*(1+C134*3/360)</f>
        <v>1.0161237654683437</v>
      </c>
      <c r="E137" s="45">
        <f t="shared" si="32"/>
        <v>4.3643274951907784E-2</v>
      </c>
      <c r="AC137" s="1">
        <f t="shared" si="47"/>
        <v>45887</v>
      </c>
      <c r="AD137">
        <f>IF(VLOOKUP(AC137,'FOMC exp '!$C$6:$C$22,1)=AC137,MATCH(AC137,'FOMC exp '!$C$6:$C$22,1),AD136)</f>
        <v>4</v>
      </c>
      <c r="AE137" s="18" cm="1">
        <f t="array" ref="AE137">INDEX('FOMC exp '!$C$6:$D$23,AD137,2)</f>
        <v>4.4999999999999998E-2</v>
      </c>
    </row>
    <row r="138" spans="1:31">
      <c r="A138" t="str">
        <f t="shared" si="46"/>
        <v>Tuesday</v>
      </c>
      <c r="B138" s="1">
        <f t="shared" si="48"/>
        <v>45888</v>
      </c>
      <c r="C138" s="45">
        <f>IF(LEFT(A138,1)="S","",VLOOKUP(B138,$AC$4:$AE$734,3)-'Quoting term rates'!$C$4)</f>
        <v>4.3299999999999998E-2</v>
      </c>
      <c r="D138">
        <f t="shared" ref="D138" si="51">D137*(1+C137*1/360)</f>
        <v>1.0162459825768015</v>
      </c>
      <c r="E138" s="45">
        <f t="shared" si="32"/>
        <v>4.3645923340660864E-2</v>
      </c>
      <c r="AC138" s="1">
        <f t="shared" si="47"/>
        <v>45888</v>
      </c>
      <c r="AD138">
        <f>IF(VLOOKUP(AC138,'FOMC exp '!$C$6:$C$22,1)=AC138,MATCH(AC138,'FOMC exp '!$C$6:$C$22,1),AD137)</f>
        <v>4</v>
      </c>
      <c r="AE138" s="18" cm="1">
        <f t="array" ref="AE138">INDEX('FOMC exp '!$C$6:$D$23,AD138,2)</f>
        <v>4.4999999999999998E-2</v>
      </c>
    </row>
    <row r="139" spans="1:31">
      <c r="A139" t="str">
        <f t="shared" si="46"/>
        <v>Wednesday</v>
      </c>
      <c r="B139" s="1">
        <f t="shared" si="48"/>
        <v>45889</v>
      </c>
      <c r="C139" s="45">
        <f>IF(LEFT(A139,1)="S","",VLOOKUP(B139,$AC$4:$AE$734,3)-'Quoting term rates'!$C$4)</f>
        <v>4.3299999999999998E-2</v>
      </c>
      <c r="D139">
        <f t="shared" si="49"/>
        <v>1.0163682143852615</v>
      </c>
      <c r="E139" s="45">
        <f t="shared" si="32"/>
        <v>4.3648571694030615E-2</v>
      </c>
      <c r="AC139" s="1">
        <f t="shared" si="47"/>
        <v>45889</v>
      </c>
      <c r="AD139">
        <f>IF(VLOOKUP(AC139,'FOMC exp '!$C$6:$C$22,1)=AC139,MATCH(AC139,'FOMC exp '!$C$6:$C$22,1),AD138)</f>
        <v>4</v>
      </c>
      <c r="AE139" s="18" cm="1">
        <f t="array" ref="AE139">INDEX('FOMC exp '!$C$6:$D$23,AD139,2)</f>
        <v>4.4999999999999998E-2</v>
      </c>
    </row>
    <row r="140" spans="1:31">
      <c r="A140" t="str">
        <f t="shared" si="46"/>
        <v>Thursday</v>
      </c>
      <c r="B140" s="1">
        <f t="shared" si="48"/>
        <v>45890</v>
      </c>
      <c r="C140" s="45">
        <f>IF(LEFT(A140,1)="S","",VLOOKUP(B140,$AC$4:$AE$734,3)-'Quoting term rates'!$C$4)</f>
        <v>4.3299999999999998E-2</v>
      </c>
      <c r="D140">
        <f t="shared" si="49"/>
        <v>1.0164904608954917</v>
      </c>
      <c r="E140" s="45">
        <f t="shared" ref="E140:E203" si="52">IF((D140-1)*360/(B140-$B$4)&lt;0,"",(D140-1)*360/(B140-$B$4))</f>
        <v>4.365122001747794E-2</v>
      </c>
      <c r="AC140" s="1">
        <f t="shared" si="47"/>
        <v>45890</v>
      </c>
      <c r="AD140">
        <f>IF(VLOOKUP(AC140,'FOMC exp '!$C$6:$C$22,1)=AC140,MATCH(AC140,'FOMC exp '!$C$6:$C$22,1),AD139)</f>
        <v>4</v>
      </c>
      <c r="AE140" s="18" cm="1">
        <f t="array" ref="AE140">INDEX('FOMC exp '!$C$6:$D$23,AD140,2)</f>
        <v>4.4999999999999998E-2</v>
      </c>
    </row>
    <row r="141" spans="1:31">
      <c r="A141" t="str">
        <f t="shared" si="46"/>
        <v>Friday</v>
      </c>
      <c r="B141" s="1">
        <f t="shared" si="48"/>
        <v>45891</v>
      </c>
      <c r="C141" s="45">
        <f>IF(LEFT(A141,1)="S","",VLOOKUP(B141,$AC$4:$AE$734,3)-'Quoting term rates'!$C$4)</f>
        <v>4.3299999999999998E-2</v>
      </c>
      <c r="D141">
        <f t="shared" si="49"/>
        <v>1.0166127221092605</v>
      </c>
      <c r="E141" s="45">
        <f t="shared" si="52"/>
        <v>4.3653868316304856E-2</v>
      </c>
      <c r="AC141" s="1">
        <f t="shared" si="47"/>
        <v>45891</v>
      </c>
      <c r="AD141">
        <f>IF(VLOOKUP(AC141,'FOMC exp '!$C$6:$C$22,1)=AC141,MATCH(AC141,'FOMC exp '!$C$6:$C$22,1),AD140)</f>
        <v>4</v>
      </c>
      <c r="AE141" s="18" cm="1">
        <f t="array" ref="AE141">INDEX('FOMC exp '!$C$6:$D$23,AD141,2)</f>
        <v>4.4999999999999998E-2</v>
      </c>
    </row>
    <row r="142" spans="1:31">
      <c r="A142" t="str">
        <f t="shared" si="46"/>
        <v>Saturday</v>
      </c>
      <c r="B142" s="1">
        <f t="shared" si="48"/>
        <v>45892</v>
      </c>
      <c r="C142" s="45" t="str">
        <f>IF(LEFT(A142,1)="S","",VLOOKUP(B142,$AC$4:$AE$734,3)-'Quoting term rates'!$C$4)</f>
        <v/>
      </c>
      <c r="E142" s="45" t="str">
        <f t="shared" si="52"/>
        <v/>
      </c>
      <c r="AC142" s="1">
        <f t="shared" si="47"/>
        <v>45892</v>
      </c>
      <c r="AD142">
        <f>IF(VLOOKUP(AC142,'FOMC exp '!$C$6:$C$22,1)=AC142,MATCH(AC142,'FOMC exp '!$C$6:$C$22,1),AD141)</f>
        <v>4</v>
      </c>
      <c r="AE142" s="18" cm="1">
        <f t="array" ref="AE142">INDEX('FOMC exp '!$C$6:$D$23,AD142,2)</f>
        <v>4.4999999999999998E-2</v>
      </c>
    </row>
    <row r="143" spans="1:31">
      <c r="A143" t="str">
        <f t="shared" si="46"/>
        <v>Sunday</v>
      </c>
      <c r="B143" s="1">
        <f t="shared" si="48"/>
        <v>45893</v>
      </c>
      <c r="C143" s="45" t="str">
        <f>IF(LEFT(A143,1)="S","",VLOOKUP(B143,$AC$4:$AE$734,3)-'Quoting term rates'!$C$4)</f>
        <v/>
      </c>
      <c r="E143" s="45" t="str">
        <f t="shared" si="52"/>
        <v/>
      </c>
      <c r="AC143" s="1">
        <f t="shared" si="47"/>
        <v>45893</v>
      </c>
      <c r="AD143">
        <f>IF(VLOOKUP(AC143,'FOMC exp '!$C$6:$C$22,1)=AC143,MATCH(AC143,'FOMC exp '!$C$6:$C$22,1),AD142)</f>
        <v>4</v>
      </c>
      <c r="AE143" s="18" cm="1">
        <f t="array" ref="AE143">INDEX('FOMC exp '!$C$6:$D$23,AD143,2)</f>
        <v>4.4999999999999998E-2</v>
      </c>
    </row>
    <row r="144" spans="1:31">
      <c r="A144" t="str">
        <f t="shared" si="46"/>
        <v>Monday</v>
      </c>
      <c r="B144" s="1">
        <f t="shared" si="48"/>
        <v>45894</v>
      </c>
      <c r="C144" s="45">
        <f>IF(LEFT(A144,1)="S","",VLOOKUP(B144,$AC$4:$AE$734,3)-'Quoting term rates'!$C$4)</f>
        <v>4.3299999999999998E-2</v>
      </c>
      <c r="D144">
        <f t="shared" ref="D144" si="53">D141*(1+C141*3/360)</f>
        <v>1.0169795498664882</v>
      </c>
      <c r="E144" s="45">
        <f t="shared" si="52"/>
        <v>4.3661699656683935E-2</v>
      </c>
      <c r="AC144" s="1">
        <f t="shared" si="47"/>
        <v>45894</v>
      </c>
      <c r="AD144">
        <f>IF(VLOOKUP(AC144,'FOMC exp '!$C$6:$C$22,1)=AC144,MATCH(AC144,'FOMC exp '!$C$6:$C$22,1),AD143)</f>
        <v>4</v>
      </c>
      <c r="AE144" s="18" cm="1">
        <f t="array" ref="AE144">INDEX('FOMC exp '!$C$6:$D$23,AD144,2)</f>
        <v>4.4999999999999998E-2</v>
      </c>
    </row>
    <row r="145" spans="1:31">
      <c r="A145" t="str">
        <f t="shared" si="46"/>
        <v>Tuesday</v>
      </c>
      <c r="B145" s="1">
        <f t="shared" si="48"/>
        <v>45895</v>
      </c>
      <c r="C145" s="45">
        <f>IF(LEFT(A145,1)="S","",VLOOKUP(B145,$AC$4:$AE$734,3)-'Quoting term rates'!$C$4)</f>
        <v>4.3299999999999998E-2</v>
      </c>
      <c r="D145">
        <f t="shared" ref="D145" si="54">D144*(1+C144*1/360)</f>
        <v>1.0171018699067915</v>
      </c>
      <c r="E145" s="45">
        <f t="shared" si="52"/>
        <v>4.3664348698191122E-2</v>
      </c>
      <c r="AC145" s="1">
        <f t="shared" si="47"/>
        <v>45895</v>
      </c>
      <c r="AD145">
        <f>IF(VLOOKUP(AC145,'FOMC exp '!$C$6:$C$22,1)=AC145,MATCH(AC145,'FOMC exp '!$C$6:$C$22,1),AD144)</f>
        <v>4</v>
      </c>
      <c r="AE145" s="18" cm="1">
        <f t="array" ref="AE145">INDEX('FOMC exp '!$C$6:$D$23,AD145,2)</f>
        <v>4.4999999999999998E-2</v>
      </c>
    </row>
    <row r="146" spans="1:31">
      <c r="A146" t="str">
        <f t="shared" si="46"/>
        <v>Wednesday</v>
      </c>
      <c r="B146" s="1">
        <f t="shared" si="48"/>
        <v>45896</v>
      </c>
      <c r="C146" s="45">
        <f>IF(LEFT(A146,1)="S","",VLOOKUP(B146,$AC$4:$AE$734,3)-'Quoting term rates'!$C$4)</f>
        <v>4.3299999999999998E-2</v>
      </c>
      <c r="D146">
        <f t="shared" si="49"/>
        <v>1.0172242046594775</v>
      </c>
      <c r="E146" s="45">
        <f t="shared" si="52"/>
        <v>4.3666997728252797E-2</v>
      </c>
      <c r="AC146" s="1">
        <f t="shared" si="47"/>
        <v>45896</v>
      </c>
      <c r="AD146">
        <f>IF(VLOOKUP(AC146,'FOMC exp '!$C$6:$C$22,1)=AC146,MATCH(AC146,'FOMC exp '!$C$6:$C$22,1),AD145)</f>
        <v>4</v>
      </c>
      <c r="AE146" s="18" cm="1">
        <f t="array" ref="AE146">INDEX('FOMC exp '!$C$6:$D$23,AD146,2)</f>
        <v>4.4999999999999998E-2</v>
      </c>
    </row>
    <row r="147" spans="1:31">
      <c r="A147" t="str">
        <f t="shared" si="46"/>
        <v>Thursday</v>
      </c>
      <c r="B147" s="1">
        <f t="shared" si="48"/>
        <v>45897</v>
      </c>
      <c r="C147" s="45">
        <f>IF(LEFT(A147,1)="S","",VLOOKUP(B147,$AC$4:$AE$734,3)-'Quoting term rates'!$C$4)</f>
        <v>4.3299999999999998E-2</v>
      </c>
      <c r="D147">
        <f t="shared" si="49"/>
        <v>1.0173465541263158</v>
      </c>
      <c r="E147" s="45">
        <f t="shared" si="52"/>
        <v>4.3669646751564262E-2</v>
      </c>
      <c r="AC147" s="1">
        <f t="shared" si="47"/>
        <v>45897</v>
      </c>
      <c r="AD147">
        <f>IF(VLOOKUP(AC147,'FOMC exp '!$C$6:$C$22,1)=AC147,MATCH(AC147,'FOMC exp '!$C$6:$C$22,1),AD146)</f>
        <v>4</v>
      </c>
      <c r="AE147" s="18" cm="1">
        <f t="array" ref="AE147">INDEX('FOMC exp '!$C$6:$D$23,AD147,2)</f>
        <v>4.4999999999999998E-2</v>
      </c>
    </row>
    <row r="148" spans="1:31">
      <c r="A148" t="str">
        <f t="shared" si="46"/>
        <v>Friday</v>
      </c>
      <c r="B148" s="1">
        <f t="shared" si="48"/>
        <v>45898</v>
      </c>
      <c r="C148" s="45">
        <f>IF(LEFT(A148,1)="S","",VLOOKUP(B148,$AC$4:$AE$734,3)-'Quoting term rates'!$C$4)</f>
        <v>4.3299999999999998E-2</v>
      </c>
      <c r="D148">
        <f t="shared" si="49"/>
        <v>1.0174689183090759</v>
      </c>
      <c r="E148" s="45">
        <f t="shared" si="52"/>
        <v>4.3672295772689829E-2</v>
      </c>
      <c r="AC148" s="1">
        <f t="shared" si="47"/>
        <v>45898</v>
      </c>
      <c r="AD148">
        <f>IF(VLOOKUP(AC148,'FOMC exp '!$C$6:$C$22,1)=AC148,MATCH(AC148,'FOMC exp '!$C$6:$C$22,1),AD147)</f>
        <v>4</v>
      </c>
      <c r="AE148" s="18" cm="1">
        <f t="array" ref="AE148">INDEX('FOMC exp '!$C$6:$D$23,AD148,2)</f>
        <v>4.4999999999999998E-2</v>
      </c>
    </row>
    <row r="149" spans="1:31">
      <c r="A149" t="str">
        <f t="shared" si="46"/>
        <v>Saturday</v>
      </c>
      <c r="B149" s="1">
        <f t="shared" si="48"/>
        <v>45899</v>
      </c>
      <c r="C149" s="45" t="str">
        <f>IF(LEFT(A149,1)="S","",VLOOKUP(B149,$AC$4:$AE$734,3)-'Quoting term rates'!$C$4)</f>
        <v/>
      </c>
      <c r="E149" s="45" t="str">
        <f t="shared" si="52"/>
        <v/>
      </c>
      <c r="AC149" s="1">
        <f t="shared" si="47"/>
        <v>45899</v>
      </c>
      <c r="AD149">
        <f>IF(VLOOKUP(AC149,'FOMC exp '!$C$6:$C$22,1)=AC149,MATCH(AC149,'FOMC exp '!$C$6:$C$22,1),AD148)</f>
        <v>4</v>
      </c>
      <c r="AE149" s="18" cm="1">
        <f t="array" ref="AE149">INDEX('FOMC exp '!$C$6:$D$23,AD149,2)</f>
        <v>4.4999999999999998E-2</v>
      </c>
    </row>
    <row r="150" spans="1:31">
      <c r="A150" t="str">
        <f t="shared" si="46"/>
        <v>Sunday</v>
      </c>
      <c r="B150" s="1">
        <f t="shared" si="48"/>
        <v>45900</v>
      </c>
      <c r="C150" s="45" t="str">
        <f>IF(LEFT(A150,1)="S","",VLOOKUP(B150,$AC$4:$AE$734,3)-'Quoting term rates'!$C$4)</f>
        <v/>
      </c>
      <c r="E150" s="45" t="str">
        <f t="shared" si="52"/>
        <v/>
      </c>
      <c r="AC150" s="1">
        <f t="shared" si="47"/>
        <v>45900</v>
      </c>
      <c r="AD150">
        <f>IF(VLOOKUP(AC150,'FOMC exp '!$C$6:$C$22,1)=AC150,MATCH(AC150,'FOMC exp '!$C$6:$C$22,1),AD149)</f>
        <v>4</v>
      </c>
      <c r="AE150" s="18" cm="1">
        <f t="array" ref="AE150">INDEX('FOMC exp '!$C$6:$D$23,AD150,2)</f>
        <v>4.4999999999999998E-2</v>
      </c>
    </row>
    <row r="151" spans="1:31">
      <c r="A151" t="str">
        <f t="shared" si="46"/>
        <v>Monday</v>
      </c>
      <c r="B151" s="1">
        <f t="shared" si="48"/>
        <v>45901</v>
      </c>
      <c r="C151" s="45">
        <f>IF(LEFT(A151,1)="S","",VLOOKUP(B151,$AC$4:$AE$734,3)-'Quoting term rates'!$C$4)</f>
        <v>4.3299999999999998E-2</v>
      </c>
      <c r="D151">
        <f t="shared" ref="D151" si="55">D148*(1+C148*3/360)</f>
        <v>1.0178360550104324</v>
      </c>
      <c r="E151" s="45">
        <f t="shared" si="52"/>
        <v>4.3680134719426271E-2</v>
      </c>
      <c r="AC151" s="1">
        <f t="shared" si="47"/>
        <v>45901</v>
      </c>
      <c r="AD151">
        <f>IF(VLOOKUP(AC151,'FOMC exp '!$C$6:$C$22,1)=AC151,MATCH(AC151,'FOMC exp '!$C$6:$C$22,1),AD150)</f>
        <v>4</v>
      </c>
      <c r="AE151" s="18" cm="1">
        <f t="array" ref="AE151">INDEX('FOMC exp '!$C$6:$D$23,AD151,2)</f>
        <v>4.4999999999999998E-2</v>
      </c>
    </row>
    <row r="152" spans="1:31">
      <c r="A152" t="str">
        <f t="shared" si="46"/>
        <v>Tuesday</v>
      </c>
      <c r="B152" s="1">
        <f t="shared" si="48"/>
        <v>45902</v>
      </c>
      <c r="C152" s="45">
        <f>IF(LEFT(A152,1)="S","",VLOOKUP(B152,$AC$4:$AE$734,3)-'Quoting term rates'!$C$4)</f>
        <v>4.3299999999999998E-2</v>
      </c>
      <c r="D152">
        <f t="shared" ref="D152" si="56">D151*(1+C151*1/360)</f>
        <v>1.0179584780692712</v>
      </c>
      <c r="E152" s="45">
        <f t="shared" si="52"/>
        <v>4.3682784492821834E-2</v>
      </c>
      <c r="AC152" s="1">
        <f t="shared" si="47"/>
        <v>45902</v>
      </c>
      <c r="AD152">
        <f>IF(VLOOKUP(AC152,'FOMC exp '!$C$6:$C$22,1)=AC152,MATCH(AC152,'FOMC exp '!$C$6:$C$22,1),AD151)</f>
        <v>4</v>
      </c>
      <c r="AE152" s="18" cm="1">
        <f t="array" ref="AE152">INDEX('FOMC exp '!$C$6:$D$23,AD152,2)</f>
        <v>4.4999999999999998E-2</v>
      </c>
    </row>
    <row r="153" spans="1:31">
      <c r="A153" t="str">
        <f t="shared" si="46"/>
        <v>Wednesday</v>
      </c>
      <c r="B153" s="1">
        <f t="shared" si="48"/>
        <v>45903</v>
      </c>
      <c r="C153" s="45">
        <f>IF(LEFT(A153,1)="S","",VLOOKUP(B153,$AC$4:$AE$734,3)-'Quoting term rates'!$C$4)</f>
        <v>4.3299999999999998E-2</v>
      </c>
      <c r="D153">
        <f t="shared" si="49"/>
        <v>1.0180809158528834</v>
      </c>
      <c r="E153" s="45">
        <f t="shared" si="52"/>
        <v>4.3685434275422992E-2</v>
      </c>
      <c r="AC153" s="1">
        <f t="shared" si="47"/>
        <v>45903</v>
      </c>
      <c r="AD153">
        <f>IF(VLOOKUP(AC153,'FOMC exp '!$C$6:$C$22,1)=AC153,MATCH(AC153,'FOMC exp '!$C$6:$C$22,1),AD152)</f>
        <v>4</v>
      </c>
      <c r="AE153" s="18" cm="1">
        <f t="array" ref="AE153">INDEX('FOMC exp '!$C$6:$D$23,AD153,2)</f>
        <v>4.4999999999999998E-2</v>
      </c>
    </row>
    <row r="154" spans="1:31">
      <c r="A154" t="str">
        <f t="shared" si="46"/>
        <v>Thursday</v>
      </c>
      <c r="B154" s="1">
        <f t="shared" si="48"/>
        <v>45904</v>
      </c>
      <c r="C154" s="45">
        <f>IF(LEFT(A154,1)="S","",VLOOKUP(B154,$AC$4:$AE$734,3)-'Quoting term rates'!$C$4)</f>
        <v>4.3299999999999998E-2</v>
      </c>
      <c r="D154">
        <f t="shared" si="49"/>
        <v>1.0182033683630403</v>
      </c>
      <c r="E154" s="45">
        <f t="shared" si="52"/>
        <v>4.368808407129663E-2</v>
      </c>
      <c r="AC154" s="1">
        <f t="shared" si="47"/>
        <v>45904</v>
      </c>
      <c r="AD154">
        <f>IF(VLOOKUP(AC154,'FOMC exp '!$C$6:$C$22,1)=AC154,MATCH(AC154,'FOMC exp '!$C$6:$C$22,1),AD153)</f>
        <v>4</v>
      </c>
      <c r="AE154" s="18" cm="1">
        <f t="array" ref="AE154">INDEX('FOMC exp '!$C$6:$D$23,AD154,2)</f>
        <v>4.4999999999999998E-2</v>
      </c>
    </row>
    <row r="155" spans="1:31">
      <c r="A155" t="str">
        <f t="shared" si="46"/>
        <v>Friday</v>
      </c>
      <c r="B155" s="1">
        <f t="shared" si="48"/>
        <v>45905</v>
      </c>
      <c r="C155" s="45">
        <f>IF(LEFT(A155,1)="S","",VLOOKUP(B155,$AC$4:$AE$734,3)-'Quoting term rates'!$C$4)</f>
        <v>4.3299999999999998E-2</v>
      </c>
      <c r="D155">
        <f t="shared" si="49"/>
        <v>1.0183258356015128</v>
      </c>
      <c r="E155" s="45">
        <f t="shared" si="52"/>
        <v>4.3690733884401367E-2</v>
      </c>
      <c r="AC155" s="1">
        <f t="shared" si="47"/>
        <v>45905</v>
      </c>
      <c r="AD155">
        <f>IF(VLOOKUP(AC155,'FOMC exp '!$C$6:$C$22,1)=AC155,MATCH(AC155,'FOMC exp '!$C$6:$C$22,1),AD154)</f>
        <v>4</v>
      </c>
      <c r="AE155" s="18" cm="1">
        <f t="array" ref="AE155">INDEX('FOMC exp '!$C$6:$D$23,AD155,2)</f>
        <v>4.4999999999999998E-2</v>
      </c>
    </row>
    <row r="156" spans="1:31">
      <c r="A156" t="str">
        <f t="shared" si="46"/>
        <v>Saturday</v>
      </c>
      <c r="B156" s="1">
        <f t="shared" si="48"/>
        <v>45906</v>
      </c>
      <c r="C156" s="45" t="str">
        <f>IF(LEFT(A156,1)="S","",VLOOKUP(B156,$AC$4:$AE$734,3)-'Quoting term rates'!$C$4)</f>
        <v/>
      </c>
      <c r="E156" s="45" t="str">
        <f t="shared" si="52"/>
        <v/>
      </c>
      <c r="AC156" s="1">
        <f t="shared" si="47"/>
        <v>45906</v>
      </c>
      <c r="AD156">
        <f>IF(VLOOKUP(AC156,'FOMC exp '!$C$6:$C$22,1)=AC156,MATCH(AC156,'FOMC exp '!$C$6:$C$22,1),AD155)</f>
        <v>4</v>
      </c>
      <c r="AE156" s="18" cm="1">
        <f t="array" ref="AE156">INDEX('FOMC exp '!$C$6:$D$23,AD156,2)</f>
        <v>4.4999999999999998E-2</v>
      </c>
    </row>
    <row r="157" spans="1:31">
      <c r="A157" t="str">
        <f t="shared" si="46"/>
        <v>Sunday</v>
      </c>
      <c r="B157" s="1">
        <f t="shared" si="48"/>
        <v>45907</v>
      </c>
      <c r="C157" s="45" t="str">
        <f>IF(LEFT(A157,1)="S","",VLOOKUP(B157,$AC$4:$AE$734,3)-'Quoting term rates'!$C$4)</f>
        <v/>
      </c>
      <c r="E157" s="45" t="str">
        <f t="shared" si="52"/>
        <v/>
      </c>
      <c r="AC157" s="1">
        <f t="shared" si="47"/>
        <v>45907</v>
      </c>
      <c r="AD157">
        <f>IF(VLOOKUP(AC157,'FOMC exp '!$C$6:$C$22,1)=AC157,MATCH(AC157,'FOMC exp '!$C$6:$C$22,1),AD156)</f>
        <v>4</v>
      </c>
      <c r="AE157" s="18" cm="1">
        <f t="array" ref="AE157">INDEX('FOMC exp '!$C$6:$D$23,AD157,2)</f>
        <v>4.4999999999999998E-2</v>
      </c>
    </row>
    <row r="158" spans="1:31">
      <c r="A158" t="str">
        <f t="shared" si="46"/>
        <v>Monday</v>
      </c>
      <c r="B158" s="1">
        <f t="shared" si="48"/>
        <v>45908</v>
      </c>
      <c r="C158" s="45">
        <f>IF(LEFT(A158,1)="S","",VLOOKUP(B158,$AC$4:$AE$734,3)-'Quoting term rates'!$C$4)</f>
        <v>4.3299999999999998E-2</v>
      </c>
      <c r="D158">
        <f t="shared" ref="D158" si="57">D155*(1+C155*3/360)</f>
        <v>1.0186932815071923</v>
      </c>
      <c r="E158" s="45">
        <f t="shared" si="52"/>
        <v>4.3698580146683284E-2</v>
      </c>
      <c r="AC158" s="1">
        <f t="shared" si="47"/>
        <v>45908</v>
      </c>
      <c r="AD158">
        <f>IF(VLOOKUP(AC158,'FOMC exp '!$C$6:$C$22,1)=AC158,MATCH(AC158,'FOMC exp '!$C$6:$C$22,1),AD157)</f>
        <v>4</v>
      </c>
      <c r="AE158" s="18" cm="1">
        <f t="array" ref="AE158">INDEX('FOMC exp '!$C$6:$D$23,AD158,2)</f>
        <v>4.4999999999999998E-2</v>
      </c>
    </row>
    <row r="159" spans="1:31">
      <c r="A159" t="str">
        <f t="shared" si="46"/>
        <v>Tuesday</v>
      </c>
      <c r="B159" s="1">
        <f t="shared" si="48"/>
        <v>45909</v>
      </c>
      <c r="C159" s="45">
        <f>IF(LEFT(A159,1)="S","",VLOOKUP(B159,$AC$4:$AE$734,3)-'Quoting term rates'!$C$4)</f>
        <v>4.3299999999999998E-2</v>
      </c>
      <c r="D159">
        <f t="shared" ref="D159" si="58">D158*(1+C158*1/360)</f>
        <v>1.0188158076713292</v>
      </c>
      <c r="E159" s="45">
        <f t="shared" si="52"/>
        <v>4.3701230720506475E-2</v>
      </c>
      <c r="AC159" s="1">
        <f t="shared" si="47"/>
        <v>45909</v>
      </c>
      <c r="AD159">
        <f>IF(VLOOKUP(AC159,'FOMC exp '!$C$6:$C$22,1)=AC159,MATCH(AC159,'FOMC exp '!$C$6:$C$22,1),AD158)</f>
        <v>4</v>
      </c>
      <c r="AE159" s="18" cm="1">
        <f t="array" ref="AE159">INDEX('FOMC exp '!$C$6:$D$23,AD159,2)</f>
        <v>4.4999999999999998E-2</v>
      </c>
    </row>
    <row r="160" spans="1:31">
      <c r="A160" t="str">
        <f t="shared" si="46"/>
        <v>Wednesday</v>
      </c>
      <c r="B160" s="1">
        <f t="shared" si="48"/>
        <v>45910</v>
      </c>
      <c r="C160" s="45">
        <f>IF(LEFT(A160,1)="S","",VLOOKUP(B160,$AC$4:$AE$734,3)-'Quoting term rates'!$C$4)</f>
        <v>4.3299999999999998E-2</v>
      </c>
      <c r="D160">
        <f t="shared" si="49"/>
        <v>1.0189383485726409</v>
      </c>
      <c r="E160" s="45">
        <f t="shared" si="52"/>
        <v>4.3703881321478941E-2</v>
      </c>
      <c r="AC160" s="1">
        <f t="shared" si="47"/>
        <v>45910</v>
      </c>
      <c r="AD160">
        <f>IF(VLOOKUP(AC160,'FOMC exp '!$C$6:$C$22,1)=AC160,MATCH(AC160,'FOMC exp '!$C$6:$C$22,1),AD159)</f>
        <v>4</v>
      </c>
      <c r="AE160" s="18" cm="1">
        <f t="array" ref="AE160">INDEX('FOMC exp '!$C$6:$D$23,AD160,2)</f>
        <v>4.4999999999999998E-2</v>
      </c>
    </row>
    <row r="161" spans="1:31">
      <c r="A161" t="str">
        <f t="shared" si="46"/>
        <v>Thursday</v>
      </c>
      <c r="B161" s="1">
        <f t="shared" si="48"/>
        <v>45911</v>
      </c>
      <c r="C161" s="45">
        <f>IF(LEFT(A161,1)="S","",VLOOKUP(B161,$AC$4:$AE$734,3)-'Quoting term rates'!$C$4)</f>
        <v>4.3299999999999998E-2</v>
      </c>
      <c r="D161">
        <f t="shared" si="49"/>
        <v>1.0190609042128997</v>
      </c>
      <c r="E161" s="45">
        <f t="shared" si="52"/>
        <v>4.3706531953145909E-2</v>
      </c>
      <c r="AC161" s="1">
        <f t="shared" si="47"/>
        <v>45911</v>
      </c>
      <c r="AD161">
        <f>IF(VLOOKUP(AC161,'FOMC exp '!$C$6:$C$22,1)=AC161,MATCH(AC161,'FOMC exp '!$C$6:$C$22,1),AD160)</f>
        <v>4</v>
      </c>
      <c r="AE161" s="18" cm="1">
        <f t="array" ref="AE161">INDEX('FOMC exp '!$C$6:$D$23,AD161,2)</f>
        <v>4.4999999999999998E-2</v>
      </c>
    </row>
    <row r="162" spans="1:31">
      <c r="A162" t="str">
        <f t="shared" si="46"/>
        <v>Friday</v>
      </c>
      <c r="B162" s="1">
        <f t="shared" si="48"/>
        <v>45912</v>
      </c>
      <c r="C162" s="45">
        <f>IF(LEFT(A162,1)="S","",VLOOKUP(B162,$AC$4:$AE$734,3)-'Quoting term rates'!$C$4)</f>
        <v>4.3299999999999998E-2</v>
      </c>
      <c r="D162">
        <f t="shared" si="49"/>
        <v>1.0191834745938786</v>
      </c>
      <c r="E162" s="45">
        <f t="shared" si="52"/>
        <v>4.3709182618963879E-2</v>
      </c>
      <c r="AC162" s="1">
        <f t="shared" si="47"/>
        <v>45912</v>
      </c>
      <c r="AD162">
        <f>IF(VLOOKUP(AC162,'FOMC exp '!$C$6:$C$22,1)=AC162,MATCH(AC162,'FOMC exp '!$C$6:$C$22,1),AD161)</f>
        <v>4</v>
      </c>
      <c r="AE162" s="18" cm="1">
        <f t="array" ref="AE162">INDEX('FOMC exp '!$C$6:$D$23,AD162,2)</f>
        <v>4.4999999999999998E-2</v>
      </c>
    </row>
    <row r="163" spans="1:31">
      <c r="A163" t="str">
        <f t="shared" si="46"/>
        <v>Saturday</v>
      </c>
      <c r="B163" s="1">
        <f t="shared" si="48"/>
        <v>45913</v>
      </c>
      <c r="C163" s="45" t="str">
        <f>IF(LEFT(A163,1)="S","",VLOOKUP(B163,$AC$4:$AE$734,3)-'Quoting term rates'!$C$4)</f>
        <v/>
      </c>
      <c r="E163" s="45" t="str">
        <f t="shared" si="52"/>
        <v/>
      </c>
      <c r="AC163" s="1">
        <f t="shared" si="47"/>
        <v>45913</v>
      </c>
      <c r="AD163">
        <f>IF(VLOOKUP(AC163,'FOMC exp '!$C$6:$C$22,1)=AC163,MATCH(AC163,'FOMC exp '!$C$6:$C$22,1),AD162)</f>
        <v>4</v>
      </c>
      <c r="AE163" s="18" cm="1">
        <f t="array" ref="AE163">INDEX('FOMC exp '!$C$6:$D$23,AD163,2)</f>
        <v>4.4999999999999998E-2</v>
      </c>
    </row>
    <row r="164" spans="1:31">
      <c r="A164" t="str">
        <f t="shared" si="46"/>
        <v>Sunday</v>
      </c>
      <c r="B164" s="1">
        <f t="shared" si="48"/>
        <v>45914</v>
      </c>
      <c r="C164" s="45" t="str">
        <f>IF(LEFT(A164,1)="S","",VLOOKUP(B164,$AC$4:$AE$734,3)-'Quoting term rates'!$C$4)</f>
        <v/>
      </c>
      <c r="E164" s="45" t="str">
        <f t="shared" si="52"/>
        <v/>
      </c>
      <c r="AC164" s="1">
        <f t="shared" si="47"/>
        <v>45914</v>
      </c>
      <c r="AD164">
        <f>IF(VLOOKUP(AC164,'FOMC exp '!$C$6:$C$22,1)=AC164,MATCH(AC164,'FOMC exp '!$C$6:$C$22,1),AD163)</f>
        <v>4</v>
      </c>
      <c r="AE164" s="18" cm="1">
        <f t="array" ref="AE164">INDEX('FOMC exp '!$C$6:$D$23,AD164,2)</f>
        <v>4.4999999999999998E-2</v>
      </c>
    </row>
    <row r="165" spans="1:31">
      <c r="A165" t="str">
        <f t="shared" si="46"/>
        <v>Monday</v>
      </c>
      <c r="B165" s="1">
        <f t="shared" si="48"/>
        <v>45915</v>
      </c>
      <c r="C165" s="45">
        <f>IF(LEFT(A165,1)="S","",VLOOKUP(B165,$AC$4:$AE$734,3)-'Quoting term rates'!$C$4)</f>
        <v>4.3299999999999998E-2</v>
      </c>
      <c r="D165">
        <f t="shared" ref="D165" si="59">D162*(1+C162*3/360)</f>
        <v>1.0195512299642946</v>
      </c>
      <c r="E165" s="45">
        <f t="shared" si="52"/>
        <v>4.371703594500654E-2</v>
      </c>
      <c r="AC165" s="1">
        <f t="shared" si="47"/>
        <v>45915</v>
      </c>
      <c r="AD165">
        <f>IF(VLOOKUP(AC165,'FOMC exp '!$C$6:$C$22,1)=AC165,MATCH(AC165,'FOMC exp '!$C$6:$C$22,1),AD164)</f>
        <v>4</v>
      </c>
      <c r="AE165" s="18" cm="1">
        <f t="array" ref="AE165">INDEX('FOMC exp '!$C$6:$D$23,AD165,2)</f>
        <v>4.4999999999999998E-2</v>
      </c>
    </row>
    <row r="166" spans="1:31">
      <c r="A166" t="str">
        <f t="shared" si="46"/>
        <v>Tuesday</v>
      </c>
      <c r="B166" s="1">
        <f t="shared" si="48"/>
        <v>45916</v>
      </c>
      <c r="C166" s="45">
        <f>IF(LEFT(A166,1)="S","",VLOOKUP(B166,$AC$4:$AE$734,3)-'Quoting term rates'!$C$4)</f>
        <v>4.3299999999999998E-2</v>
      </c>
      <c r="D166">
        <f t="shared" ref="D166" si="60">D165*(1+C165*1/360)</f>
        <v>1.0196738593205652</v>
      </c>
      <c r="E166" s="45">
        <f t="shared" si="52"/>
        <v>4.3719687379033784E-2</v>
      </c>
      <c r="AC166" s="1">
        <f t="shared" si="47"/>
        <v>45916</v>
      </c>
      <c r="AD166">
        <f>IF(VLOOKUP(AC166,'FOMC exp '!$C$6:$C$22,1)=AC166,MATCH(AC166,'FOMC exp '!$C$6:$C$22,1),AD165)</f>
        <v>4</v>
      </c>
      <c r="AE166" s="18" cm="1">
        <f t="array" ref="AE166">INDEX('FOMC exp '!$C$6:$D$23,AD166,2)</f>
        <v>4.4999999999999998E-2</v>
      </c>
    </row>
    <row r="167" spans="1:31">
      <c r="A167" t="str">
        <f t="shared" si="46"/>
        <v>Wednesday</v>
      </c>
      <c r="B167" s="1">
        <f t="shared" si="48"/>
        <v>45917</v>
      </c>
      <c r="C167" s="45">
        <f>IF(LEFT(A167,1)="S","",VLOOKUP(B167,$AC$4:$AE$734,3)-'Quoting term rates'!$C$4)</f>
        <v>4.3299999999999998E-2</v>
      </c>
      <c r="D167">
        <f t="shared" si="49"/>
        <v>1.0197965034264225</v>
      </c>
      <c r="E167" s="45">
        <f t="shared" si="52"/>
        <v>4.3722338855902397E-2</v>
      </c>
      <c r="AC167" s="1">
        <f t="shared" si="47"/>
        <v>45917</v>
      </c>
      <c r="AD167">
        <f>IF(VLOOKUP(AC167,'FOMC exp '!$C$6:$C$22,1)=AC167,MATCH(AC167,'FOMC exp '!$C$6:$C$22,1),AD166)</f>
        <v>5</v>
      </c>
      <c r="AE167" s="18" cm="1">
        <f t="array" ref="AE167">INDEX('FOMC exp '!$C$6:$D$23,AD167,2)</f>
        <v>4.4999999999999998E-2</v>
      </c>
    </row>
    <row r="168" spans="1:31">
      <c r="A168" t="str">
        <f t="shared" si="46"/>
        <v>Thursday</v>
      </c>
      <c r="B168" s="1">
        <f t="shared" si="48"/>
        <v>45918</v>
      </c>
      <c r="C168" s="45">
        <f>IF(LEFT(A168,1)="S","",VLOOKUP(B168,$AC$4:$AE$734,3)-'Quoting term rates'!$C$4)</f>
        <v>4.3299999999999998E-2</v>
      </c>
      <c r="D168">
        <f t="shared" si="49"/>
        <v>1.0199191622836401</v>
      </c>
      <c r="E168" s="45">
        <f t="shared" si="52"/>
        <v>4.3724990378722177E-2</v>
      </c>
      <c r="AC168" s="1">
        <f t="shared" si="47"/>
        <v>45918</v>
      </c>
      <c r="AD168">
        <f>IF(VLOOKUP(AC168,'FOMC exp '!$C$6:$C$22,1)=AC168,MATCH(AC168,'FOMC exp '!$C$6:$C$22,1),AD167)</f>
        <v>5</v>
      </c>
      <c r="AE168" s="18" cm="1">
        <f t="array" ref="AE168">INDEX('FOMC exp '!$C$6:$D$23,AD168,2)</f>
        <v>4.4999999999999998E-2</v>
      </c>
    </row>
    <row r="169" spans="1:31">
      <c r="A169" t="str">
        <f t="shared" si="46"/>
        <v>Friday</v>
      </c>
      <c r="B169" s="1">
        <f t="shared" si="48"/>
        <v>45919</v>
      </c>
      <c r="C169" s="45">
        <f>IF(LEFT(A169,1)="S","",VLOOKUP(B169,$AC$4:$AE$734,3)-'Quoting term rates'!$C$4)</f>
        <v>4.3299999999999998E-2</v>
      </c>
      <c r="D169">
        <f t="shared" si="49"/>
        <v>1.0200418358939927</v>
      </c>
      <c r="E169" s="45">
        <f t="shared" si="52"/>
        <v>4.3727641950529451E-2</v>
      </c>
      <c r="AC169" s="1">
        <f t="shared" si="47"/>
        <v>45919</v>
      </c>
      <c r="AD169">
        <f>IF(VLOOKUP(AC169,'FOMC exp '!$C$6:$C$22,1)=AC169,MATCH(AC169,'FOMC exp '!$C$6:$C$22,1),AD168)</f>
        <v>5</v>
      </c>
      <c r="AE169" s="18" cm="1">
        <f t="array" ref="AE169">INDEX('FOMC exp '!$C$6:$D$23,AD169,2)</f>
        <v>4.4999999999999998E-2</v>
      </c>
    </row>
    <row r="170" spans="1:31">
      <c r="A170" t="str">
        <f t="shared" si="46"/>
        <v>Saturday</v>
      </c>
      <c r="B170" s="1">
        <f t="shared" si="48"/>
        <v>45920</v>
      </c>
      <c r="C170" s="45" t="str">
        <f>IF(LEFT(A170,1)="S","",VLOOKUP(B170,$AC$4:$AE$734,3)-'Quoting term rates'!$C$4)</f>
        <v/>
      </c>
      <c r="E170" s="45" t="str">
        <f t="shared" si="52"/>
        <v/>
      </c>
      <c r="AC170" s="1">
        <f t="shared" si="47"/>
        <v>45920</v>
      </c>
      <c r="AD170">
        <f>IF(VLOOKUP(AC170,'FOMC exp '!$C$6:$C$22,1)=AC170,MATCH(AC170,'FOMC exp '!$C$6:$C$22,1),AD169)</f>
        <v>5</v>
      </c>
      <c r="AE170" s="18" cm="1">
        <f t="array" ref="AE170">INDEX('FOMC exp '!$C$6:$D$23,AD170,2)</f>
        <v>4.4999999999999998E-2</v>
      </c>
    </row>
    <row r="171" spans="1:31">
      <c r="A171" t="str">
        <f t="shared" si="46"/>
        <v>Sunday</v>
      </c>
      <c r="B171" s="1">
        <f t="shared" si="48"/>
        <v>45921</v>
      </c>
      <c r="C171" s="45" t="str">
        <f>IF(LEFT(A171,1)="S","",VLOOKUP(B171,$AC$4:$AE$734,3)-'Quoting term rates'!$C$4)</f>
        <v/>
      </c>
      <c r="E171" s="45" t="str">
        <f t="shared" si="52"/>
        <v/>
      </c>
      <c r="AC171" s="1">
        <f t="shared" si="47"/>
        <v>45921</v>
      </c>
      <c r="AD171">
        <f>IF(VLOOKUP(AC171,'FOMC exp '!$C$6:$C$22,1)=AC171,MATCH(AC171,'FOMC exp '!$C$6:$C$22,1),AD170)</f>
        <v>5</v>
      </c>
      <c r="AE171" s="18" cm="1">
        <f t="array" ref="AE171">INDEX('FOMC exp '!$C$6:$D$23,AD171,2)</f>
        <v>4.4999999999999998E-2</v>
      </c>
    </row>
    <row r="172" spans="1:31">
      <c r="A172" t="str">
        <f t="shared" si="46"/>
        <v>Monday</v>
      </c>
      <c r="B172" s="1">
        <f t="shared" si="48"/>
        <v>45922</v>
      </c>
      <c r="C172" s="45">
        <f>IF(LEFT(A172,1)="S","",VLOOKUP(B172,$AC$4:$AE$734,3)-'Quoting term rates'!$C$4)</f>
        <v>4.3299999999999998E-2</v>
      </c>
      <c r="D172">
        <f t="shared" ref="D172" si="61">D169*(1+C169*3/360)</f>
        <v>1.0204099009897778</v>
      </c>
      <c r="E172" s="45">
        <f t="shared" si="52"/>
        <v>4.3735502120952417E-2</v>
      </c>
      <c r="AC172" s="1">
        <f t="shared" si="47"/>
        <v>45922</v>
      </c>
      <c r="AD172">
        <f>IF(VLOOKUP(AC172,'FOMC exp '!$C$6:$C$22,1)=AC172,MATCH(AC172,'FOMC exp '!$C$6:$C$22,1),AD171)</f>
        <v>5</v>
      </c>
      <c r="AE172" s="18" cm="1">
        <f t="array" ref="AE172">INDEX('FOMC exp '!$C$6:$D$23,AD172,2)</f>
        <v>4.4999999999999998E-2</v>
      </c>
    </row>
    <row r="173" spans="1:31">
      <c r="A173" t="str">
        <f t="shared" si="46"/>
        <v>Tuesday</v>
      </c>
      <c r="B173" s="1">
        <f t="shared" si="48"/>
        <v>45923</v>
      </c>
      <c r="C173" s="45">
        <f>IF(LEFT(A173,1)="S","",VLOOKUP(B173,$AC$4:$AE$734,3)-'Quoting term rates'!$C$4)</f>
        <v>4.3299999999999998E-2</v>
      </c>
      <c r="D173">
        <f t="shared" ref="D173" si="62">D172*(1+C172*1/360)</f>
        <v>1.0205326336250913</v>
      </c>
      <c r="E173" s="45">
        <f t="shared" si="52"/>
        <v>4.3738154467650059E-2</v>
      </c>
      <c r="AC173" s="1">
        <f t="shared" si="47"/>
        <v>45923</v>
      </c>
      <c r="AD173">
        <f>IF(VLOOKUP(AC173,'FOMC exp '!$C$6:$C$22,1)=AC173,MATCH(AC173,'FOMC exp '!$C$6:$C$22,1),AD172)</f>
        <v>5</v>
      </c>
      <c r="AE173" s="18" cm="1">
        <f t="array" ref="AE173">INDEX('FOMC exp '!$C$6:$D$23,AD173,2)</f>
        <v>4.4999999999999998E-2</v>
      </c>
    </row>
    <row r="174" spans="1:31">
      <c r="A174" t="str">
        <f t="shared" si="46"/>
        <v>Wednesday</v>
      </c>
      <c r="B174" s="1">
        <f t="shared" si="48"/>
        <v>45924</v>
      </c>
      <c r="C174" s="45">
        <f>IF(LEFT(A174,1)="S","",VLOOKUP(B174,$AC$4:$AE$734,3)-'Quoting term rates'!$C$4)</f>
        <v>4.3299999999999998E-2</v>
      </c>
      <c r="D174">
        <f t="shared" si="49"/>
        <v>1.0206553810224135</v>
      </c>
      <c r="E174" s="45">
        <f t="shared" si="52"/>
        <v>4.3740806870993271E-2</v>
      </c>
      <c r="AC174" s="1">
        <f t="shared" si="47"/>
        <v>45924</v>
      </c>
      <c r="AD174">
        <f>IF(VLOOKUP(AC174,'FOMC exp '!$C$6:$C$22,1)=AC174,MATCH(AC174,'FOMC exp '!$C$6:$C$22,1),AD173)</f>
        <v>5</v>
      </c>
      <c r="AE174" s="18" cm="1">
        <f t="array" ref="AE174">INDEX('FOMC exp '!$C$6:$D$23,AD174,2)</f>
        <v>4.4999999999999998E-2</v>
      </c>
    </row>
    <row r="175" spans="1:31">
      <c r="A175" t="str">
        <f t="shared" si="46"/>
        <v>Thursday</v>
      </c>
      <c r="B175" s="1">
        <f t="shared" si="48"/>
        <v>45925</v>
      </c>
      <c r="C175" s="45">
        <f>IF(LEFT(A175,1)="S","",VLOOKUP(B175,$AC$4:$AE$734,3)-'Quoting term rates'!$C$4)</f>
        <v>4.3299999999999998E-2</v>
      </c>
      <c r="D175">
        <f t="shared" si="49"/>
        <v>1.0207781431835199</v>
      </c>
      <c r="E175" s="45">
        <f t="shared" si="52"/>
        <v>4.3743459333726087E-2</v>
      </c>
      <c r="AC175" s="1">
        <f t="shared" si="47"/>
        <v>45925</v>
      </c>
      <c r="AD175">
        <f>IF(VLOOKUP(AC175,'FOMC exp '!$C$6:$C$22,1)=AC175,MATCH(AC175,'FOMC exp '!$C$6:$C$22,1),AD174)</f>
        <v>5</v>
      </c>
      <c r="AE175" s="18" cm="1">
        <f t="array" ref="AE175">INDEX('FOMC exp '!$C$6:$D$23,AD175,2)</f>
        <v>4.4999999999999998E-2</v>
      </c>
    </row>
    <row r="176" spans="1:31">
      <c r="A176" t="str">
        <f t="shared" si="46"/>
        <v>Friday</v>
      </c>
      <c r="B176" s="1">
        <f t="shared" si="48"/>
        <v>45926</v>
      </c>
      <c r="C176" s="45">
        <f>IF(LEFT(A176,1)="S","",VLOOKUP(B176,$AC$4:$AE$734,3)-'Quoting term rates'!$C$4)</f>
        <v>4.3299999999999998E-2</v>
      </c>
      <c r="D176">
        <f t="shared" si="49"/>
        <v>1.0209009201101862</v>
      </c>
      <c r="E176" s="45">
        <f t="shared" si="52"/>
        <v>4.3746111858529217E-2</v>
      </c>
      <c r="AC176" s="1">
        <f t="shared" si="47"/>
        <v>45926</v>
      </c>
      <c r="AD176">
        <f>IF(VLOOKUP(AC176,'FOMC exp '!$C$6:$C$22,1)=AC176,MATCH(AC176,'FOMC exp '!$C$6:$C$22,1),AD175)</f>
        <v>5</v>
      </c>
      <c r="AE176" s="18" cm="1">
        <f t="array" ref="AE176">INDEX('FOMC exp '!$C$6:$D$23,AD176,2)</f>
        <v>4.4999999999999998E-2</v>
      </c>
    </row>
    <row r="177" spans="1:31">
      <c r="A177" t="str">
        <f t="shared" si="46"/>
        <v>Saturday</v>
      </c>
      <c r="B177" s="1">
        <f t="shared" si="48"/>
        <v>45927</v>
      </c>
      <c r="C177" s="45" t="str">
        <f>IF(LEFT(A177,1)="S","",VLOOKUP(B177,$AC$4:$AE$734,3)-'Quoting term rates'!$C$4)</f>
        <v/>
      </c>
      <c r="E177" s="45" t="str">
        <f t="shared" si="52"/>
        <v/>
      </c>
      <c r="AC177" s="1">
        <f t="shared" si="47"/>
        <v>45927</v>
      </c>
      <c r="AD177">
        <f>IF(VLOOKUP(AC177,'FOMC exp '!$C$6:$C$22,1)=AC177,MATCH(AC177,'FOMC exp '!$C$6:$C$22,1),AD176)</f>
        <v>5</v>
      </c>
      <c r="AE177" s="18" cm="1">
        <f t="array" ref="AE177">INDEX('FOMC exp '!$C$6:$D$23,AD177,2)</f>
        <v>4.4999999999999998E-2</v>
      </c>
    </row>
    <row r="178" spans="1:31">
      <c r="A178" t="str">
        <f t="shared" si="46"/>
        <v>Sunday</v>
      </c>
      <c r="B178" s="1">
        <f t="shared" si="48"/>
        <v>45928</v>
      </c>
      <c r="C178" s="45" t="str">
        <f>IF(LEFT(A178,1)="S","",VLOOKUP(B178,$AC$4:$AE$734,3)-'Quoting term rates'!$C$4)</f>
        <v/>
      </c>
      <c r="E178" s="45" t="str">
        <f t="shared" si="52"/>
        <v/>
      </c>
      <c r="AC178" s="1">
        <f t="shared" si="47"/>
        <v>45928</v>
      </c>
      <c r="AD178">
        <f>IF(VLOOKUP(AC178,'FOMC exp '!$C$6:$C$22,1)=AC178,MATCH(AC178,'FOMC exp '!$C$6:$C$22,1),AD177)</f>
        <v>5</v>
      </c>
      <c r="AE178" s="18" cm="1">
        <f t="array" ref="AE178">INDEX('FOMC exp '!$C$6:$D$23,AD178,2)</f>
        <v>4.4999999999999998E-2</v>
      </c>
    </row>
    <row r="179" spans="1:31">
      <c r="A179" t="str">
        <f t="shared" si="46"/>
        <v>Monday</v>
      </c>
      <c r="B179" s="1">
        <f t="shared" si="48"/>
        <v>45929</v>
      </c>
      <c r="C179" s="45">
        <f>IF(LEFT(A179,1)="S","",VLOOKUP(B179,$AC$4:$AE$734,3)-'Quoting term rates'!$C$4)</f>
        <v>4.3299999999999998E-2</v>
      </c>
      <c r="D179">
        <f t="shared" ref="D179" si="63">D176*(1+C176*3/360)</f>
        <v>1.0212692951921927</v>
      </c>
      <c r="E179" s="45">
        <f t="shared" si="52"/>
        <v>4.3753978681082072E-2</v>
      </c>
      <c r="AC179" s="1">
        <f t="shared" si="47"/>
        <v>45929</v>
      </c>
      <c r="AD179">
        <f>IF(VLOOKUP(AC179,'FOMC exp '!$C$6:$C$22,1)=AC179,MATCH(AC179,'FOMC exp '!$C$6:$C$22,1),AD178)</f>
        <v>5</v>
      </c>
      <c r="AE179" s="18" cm="1">
        <f t="array" ref="AE179">INDEX('FOMC exp '!$C$6:$D$23,AD179,2)</f>
        <v>4.4999999999999998E-2</v>
      </c>
    </row>
    <row r="180" spans="1:31">
      <c r="A180" t="str">
        <f t="shared" si="46"/>
        <v>Tuesday</v>
      </c>
      <c r="B180" s="1">
        <f t="shared" si="48"/>
        <v>45930</v>
      </c>
      <c r="C180" s="45">
        <f>IF(LEFT(A180,1)="S","",VLOOKUP(B180,$AC$4:$AE$734,3)-'Quoting term rates'!$C$4)</f>
        <v>4.3299999999999998E-2</v>
      </c>
      <c r="D180">
        <f t="shared" ref="D180" si="64">D179*(1+C179*1/360)</f>
        <v>1.021392131193531</v>
      </c>
      <c r="E180" s="45">
        <f t="shared" si="52"/>
        <v>4.3756631986767963E-2</v>
      </c>
      <c r="AC180" s="1">
        <f t="shared" si="47"/>
        <v>45930</v>
      </c>
      <c r="AD180">
        <f>IF(VLOOKUP(AC180,'FOMC exp '!$C$6:$C$22,1)=AC180,MATCH(AC180,'FOMC exp '!$C$6:$C$22,1),AD179)</f>
        <v>5</v>
      </c>
      <c r="AE180" s="18" cm="1">
        <f t="array" ref="AE180">INDEX('FOMC exp '!$C$6:$D$23,AD180,2)</f>
        <v>4.4999999999999998E-2</v>
      </c>
    </row>
    <row r="181" spans="1:31">
      <c r="A181" t="str">
        <f t="shared" si="46"/>
        <v>Wednesday</v>
      </c>
      <c r="B181" s="1">
        <f t="shared" si="48"/>
        <v>45931</v>
      </c>
      <c r="C181" s="45">
        <f>IF(LEFT(A181,1)="S","",VLOOKUP(B181,$AC$4:$AE$734,3)-'Quoting term rates'!$C$4)</f>
        <v>4.3299999999999998E-2</v>
      </c>
      <c r="D181">
        <f t="shared" si="49"/>
        <v>1.0215149819693108</v>
      </c>
      <c r="E181" s="45">
        <f t="shared" si="52"/>
        <v>4.3759285361310074E-2</v>
      </c>
      <c r="AC181" s="1">
        <f t="shared" si="47"/>
        <v>45931</v>
      </c>
      <c r="AD181">
        <f>IF(VLOOKUP(AC181,'FOMC exp '!$C$6:$C$22,1)=AC181,MATCH(AC181,'FOMC exp '!$C$6:$C$22,1),AD180)</f>
        <v>5</v>
      </c>
      <c r="AE181" s="18" cm="1">
        <f t="array" ref="AE181">INDEX('FOMC exp '!$C$6:$D$23,AD181,2)</f>
        <v>4.4999999999999998E-2</v>
      </c>
    </row>
    <row r="182" spans="1:31">
      <c r="A182" t="str">
        <f t="shared" si="46"/>
        <v>Thursday</v>
      </c>
      <c r="B182" s="1">
        <f t="shared" si="48"/>
        <v>45932</v>
      </c>
      <c r="C182" s="45">
        <f>IF(LEFT(A182,1)="S","",VLOOKUP(B182,$AC$4:$AE$734,3)-'Quoting term rates'!$C$4)</f>
        <v>4.3299999999999998E-2</v>
      </c>
      <c r="D182">
        <f t="shared" si="49"/>
        <v>1.0216378475213088</v>
      </c>
      <c r="E182" s="45">
        <f t="shared" si="52"/>
        <v>4.376193880714143E-2</v>
      </c>
      <c r="AC182" s="1">
        <f t="shared" si="47"/>
        <v>45932</v>
      </c>
      <c r="AD182">
        <f>IF(VLOOKUP(AC182,'FOMC exp '!$C$6:$C$22,1)=AC182,MATCH(AC182,'FOMC exp '!$C$6:$C$22,1),AD181)</f>
        <v>5</v>
      </c>
      <c r="AE182" s="18" cm="1">
        <f t="array" ref="AE182">INDEX('FOMC exp '!$C$6:$D$23,AD182,2)</f>
        <v>4.4999999999999998E-2</v>
      </c>
    </row>
    <row r="183" spans="1:31">
      <c r="A183" t="str">
        <f t="shared" si="46"/>
        <v>Friday</v>
      </c>
      <c r="B183" s="1">
        <f t="shared" si="48"/>
        <v>45933</v>
      </c>
      <c r="C183" s="45">
        <f>IF(LEFT(A183,1)="S","",VLOOKUP(B183,$AC$4:$AE$734,3)-'Quoting term rates'!$C$4)</f>
        <v>4.3299999999999998E-2</v>
      </c>
      <c r="D183">
        <f t="shared" si="49"/>
        <v>1.0217607278513023</v>
      </c>
      <c r="E183" s="45">
        <f t="shared" si="52"/>
        <v>4.376459232664158E-2</v>
      </c>
      <c r="AC183" s="1">
        <f t="shared" si="47"/>
        <v>45933</v>
      </c>
      <c r="AD183">
        <f>IF(VLOOKUP(AC183,'FOMC exp '!$C$6:$C$22,1)=AC183,MATCH(AC183,'FOMC exp '!$C$6:$C$22,1),AD182)</f>
        <v>5</v>
      </c>
      <c r="AE183" s="18" cm="1">
        <f t="array" ref="AE183">INDEX('FOMC exp '!$C$6:$D$23,AD183,2)</f>
        <v>4.4999999999999998E-2</v>
      </c>
    </row>
    <row r="184" spans="1:31">
      <c r="A184" t="str">
        <f t="shared" si="46"/>
        <v>Saturday</v>
      </c>
      <c r="B184" s="1">
        <f t="shared" si="48"/>
        <v>45934</v>
      </c>
      <c r="C184" s="45" t="str">
        <f>IF(LEFT(A184,1)="S","",VLOOKUP(B184,$AC$4:$AE$734,3)-'Quoting term rates'!$C$4)</f>
        <v/>
      </c>
      <c r="E184" s="45" t="str">
        <f t="shared" si="52"/>
        <v/>
      </c>
      <c r="AC184" s="1">
        <f t="shared" si="47"/>
        <v>45934</v>
      </c>
      <c r="AD184">
        <f>IF(VLOOKUP(AC184,'FOMC exp '!$C$6:$C$22,1)=AC184,MATCH(AC184,'FOMC exp '!$C$6:$C$22,1),AD183)</f>
        <v>5</v>
      </c>
      <c r="AE184" s="18" cm="1">
        <f t="array" ref="AE184">INDEX('FOMC exp '!$C$6:$D$23,AD184,2)</f>
        <v>4.4999999999999998E-2</v>
      </c>
    </row>
    <row r="185" spans="1:31">
      <c r="A185" t="str">
        <f t="shared" si="46"/>
        <v>Sunday</v>
      </c>
      <c r="B185" s="1">
        <f t="shared" si="48"/>
        <v>45935</v>
      </c>
      <c r="C185" s="45" t="str">
        <f>IF(LEFT(A185,1)="S","",VLOOKUP(B185,$AC$4:$AE$734,3)-'Quoting term rates'!$C$4)</f>
        <v/>
      </c>
      <c r="E185" s="45" t="str">
        <f t="shared" si="52"/>
        <v/>
      </c>
      <c r="AC185" s="1">
        <f t="shared" si="47"/>
        <v>45935</v>
      </c>
      <c r="AD185">
        <f>IF(VLOOKUP(AC185,'FOMC exp '!$C$6:$C$22,1)=AC185,MATCH(AC185,'FOMC exp '!$C$6:$C$22,1),AD184)</f>
        <v>5</v>
      </c>
      <c r="AE185" s="18" cm="1">
        <f t="array" ref="AE185">INDEX('FOMC exp '!$C$6:$D$23,AD185,2)</f>
        <v>4.4999999999999998E-2</v>
      </c>
    </row>
    <row r="186" spans="1:31">
      <c r="A186" t="str">
        <f t="shared" si="46"/>
        <v>Monday</v>
      </c>
      <c r="B186" s="1">
        <f t="shared" si="48"/>
        <v>45936</v>
      </c>
      <c r="C186" s="45">
        <f>IF(LEFT(A186,1)="S","",VLOOKUP(B186,$AC$4:$AE$734,3)-'Quoting term rates'!$C$4)</f>
        <v>4.3299999999999998E-2</v>
      </c>
      <c r="D186">
        <f t="shared" ref="D186" si="65">D183*(1+C183*3/360)</f>
        <v>1.022129413180602</v>
      </c>
      <c r="E186" s="45">
        <f t="shared" si="52"/>
        <v>4.3772465631960036E-2</v>
      </c>
      <c r="AC186" s="1">
        <f t="shared" si="47"/>
        <v>45936</v>
      </c>
      <c r="AD186">
        <f>IF(VLOOKUP(AC186,'FOMC exp '!$C$6:$C$22,1)=AC186,MATCH(AC186,'FOMC exp '!$C$6:$C$22,1),AD185)</f>
        <v>5</v>
      </c>
      <c r="AE186" s="18" cm="1">
        <f t="array" ref="AE186">INDEX('FOMC exp '!$C$6:$D$23,AD186,2)</f>
        <v>4.4999999999999998E-2</v>
      </c>
    </row>
    <row r="187" spans="1:31">
      <c r="A187" t="str">
        <f t="shared" si="46"/>
        <v>Tuesday</v>
      </c>
      <c r="B187" s="1">
        <f t="shared" si="48"/>
        <v>45937</v>
      </c>
      <c r="C187" s="45">
        <f>IF(LEFT(A187,1)="S","",VLOOKUP(B187,$AC$4:$AE$734,3)-'Quoting term rates'!$C$4)</f>
        <v>4.3299999999999998E-2</v>
      </c>
      <c r="D187">
        <f t="shared" ref="D187" si="66">D186*(1+C186*1/360)</f>
        <v>1.0222523526350207</v>
      </c>
      <c r="E187" s="45">
        <f t="shared" si="52"/>
        <v>4.3775119937745598E-2</v>
      </c>
      <c r="AC187" s="1">
        <f t="shared" si="47"/>
        <v>45937</v>
      </c>
      <c r="AD187">
        <f>IF(VLOOKUP(AC187,'FOMC exp '!$C$6:$C$22,1)=AC187,MATCH(AC187,'FOMC exp '!$C$6:$C$22,1),AD186)</f>
        <v>5</v>
      </c>
      <c r="AE187" s="18" cm="1">
        <f t="array" ref="AE187">INDEX('FOMC exp '!$C$6:$D$23,AD187,2)</f>
        <v>4.4999999999999998E-2</v>
      </c>
    </row>
    <row r="188" spans="1:31">
      <c r="A188" t="str">
        <f t="shared" si="46"/>
        <v>Wednesday</v>
      </c>
      <c r="B188" s="1">
        <f t="shared" si="48"/>
        <v>45938</v>
      </c>
      <c r="C188" s="45">
        <f>IF(LEFT(A188,1)="S","",VLOOKUP(B188,$AC$4:$AE$734,3)-'Quoting term rates'!$C$4)</f>
        <v>4.3299999999999998E-2</v>
      </c>
      <c r="D188">
        <f t="shared" si="49"/>
        <v>1.0223753068763237</v>
      </c>
      <c r="E188" s="45">
        <f t="shared" si="52"/>
        <v>4.3777774323242057E-2</v>
      </c>
      <c r="AC188" s="1">
        <f t="shared" si="47"/>
        <v>45938</v>
      </c>
      <c r="AD188">
        <f>IF(VLOOKUP(AC188,'FOMC exp '!$C$6:$C$22,1)=AC188,MATCH(AC188,'FOMC exp '!$C$6:$C$22,1),AD187)</f>
        <v>5</v>
      </c>
      <c r="AE188" s="18" cm="1">
        <f t="array" ref="AE188">INDEX('FOMC exp '!$C$6:$D$23,AD188,2)</f>
        <v>4.4999999999999998E-2</v>
      </c>
    </row>
    <row r="189" spans="1:31">
      <c r="A189" t="str">
        <f t="shared" si="46"/>
        <v>Thursday</v>
      </c>
      <c r="B189" s="1">
        <f t="shared" si="48"/>
        <v>45939</v>
      </c>
      <c r="C189" s="45">
        <f>IF(LEFT(A189,1)="S","",VLOOKUP(B189,$AC$4:$AE$734,3)-'Quoting term rates'!$C$4)</f>
        <v>4.3299999999999998E-2</v>
      </c>
      <c r="D189">
        <f t="shared" si="49"/>
        <v>1.0224982759062897</v>
      </c>
      <c r="E189" s="45">
        <f t="shared" si="52"/>
        <v>4.3780428790617838E-2</v>
      </c>
      <c r="AC189" s="1">
        <f t="shared" si="47"/>
        <v>45939</v>
      </c>
      <c r="AD189">
        <f>IF(VLOOKUP(AC189,'FOMC exp '!$C$6:$C$22,1)=AC189,MATCH(AC189,'FOMC exp '!$C$6:$C$22,1),AD188)</f>
        <v>5</v>
      </c>
      <c r="AE189" s="18" cm="1">
        <f t="array" ref="AE189">INDEX('FOMC exp '!$C$6:$D$23,AD189,2)</f>
        <v>4.4999999999999998E-2</v>
      </c>
    </row>
    <row r="190" spans="1:31">
      <c r="A190" t="str">
        <f t="shared" si="46"/>
        <v>Friday</v>
      </c>
      <c r="B190" s="1">
        <f t="shared" si="48"/>
        <v>45940</v>
      </c>
      <c r="C190" s="45">
        <f>IF(LEFT(A190,1)="S","",VLOOKUP(B190,$AC$4:$AE$734,3)-'Quoting term rates'!$C$4)</f>
        <v>4.3299999999999998E-2</v>
      </c>
      <c r="D190">
        <f t="shared" si="49"/>
        <v>1.0226212597266973</v>
      </c>
      <c r="E190" s="45">
        <f t="shared" si="52"/>
        <v>4.3783083341994704E-2</v>
      </c>
      <c r="AC190" s="1">
        <f t="shared" si="47"/>
        <v>45940</v>
      </c>
      <c r="AD190">
        <f>IF(VLOOKUP(AC190,'FOMC exp '!$C$6:$C$22,1)=AC190,MATCH(AC190,'FOMC exp '!$C$6:$C$22,1),AD189)</f>
        <v>5</v>
      </c>
      <c r="AE190" s="18" cm="1">
        <f t="array" ref="AE190">INDEX('FOMC exp '!$C$6:$D$23,AD190,2)</f>
        <v>4.4999999999999998E-2</v>
      </c>
    </row>
    <row r="191" spans="1:31">
      <c r="A191" t="str">
        <f t="shared" si="46"/>
        <v>Saturday</v>
      </c>
      <c r="B191" s="1">
        <f t="shared" si="48"/>
        <v>45941</v>
      </c>
      <c r="C191" s="45" t="str">
        <f>IF(LEFT(A191,1)="S","",VLOOKUP(B191,$AC$4:$AE$734,3)-'Quoting term rates'!$C$4)</f>
        <v/>
      </c>
      <c r="E191" s="45" t="str">
        <f t="shared" si="52"/>
        <v/>
      </c>
      <c r="AC191" s="1">
        <f t="shared" si="47"/>
        <v>45941</v>
      </c>
      <c r="AD191">
        <f>IF(VLOOKUP(AC191,'FOMC exp '!$C$6:$C$22,1)=AC191,MATCH(AC191,'FOMC exp '!$C$6:$C$22,1),AD190)</f>
        <v>5</v>
      </c>
      <c r="AE191" s="18" cm="1">
        <f t="array" ref="AE191">INDEX('FOMC exp '!$C$6:$D$23,AD191,2)</f>
        <v>4.4999999999999998E-2</v>
      </c>
    </row>
    <row r="192" spans="1:31">
      <c r="A192" t="str">
        <f t="shared" si="46"/>
        <v>Sunday</v>
      </c>
      <c r="B192" s="1">
        <f t="shared" si="48"/>
        <v>45942</v>
      </c>
      <c r="C192" s="45" t="str">
        <f>IF(LEFT(A192,1)="S","",VLOOKUP(B192,$AC$4:$AE$734,3)-'Quoting term rates'!$C$4)</f>
        <v/>
      </c>
      <c r="E192" s="45" t="str">
        <f t="shared" si="52"/>
        <v/>
      </c>
      <c r="AC192" s="1">
        <f t="shared" si="47"/>
        <v>45942</v>
      </c>
      <c r="AD192">
        <f>IF(VLOOKUP(AC192,'FOMC exp '!$C$6:$C$22,1)=AC192,MATCH(AC192,'FOMC exp '!$C$6:$C$22,1),AD191)</f>
        <v>5</v>
      </c>
      <c r="AE192" s="18" cm="1">
        <f t="array" ref="AE192">INDEX('FOMC exp '!$C$6:$D$23,AD192,2)</f>
        <v>4.4999999999999998E-2</v>
      </c>
    </row>
    <row r="193" spans="1:31">
      <c r="A193" t="str">
        <f t="shared" si="46"/>
        <v>Monday</v>
      </c>
      <c r="B193" s="1">
        <f t="shared" si="48"/>
        <v>45943</v>
      </c>
      <c r="C193" s="45">
        <f>IF(LEFT(A193,1)="S","",VLOOKUP(B193,$AC$4:$AE$734,3)-'Quoting term rates'!$C$4)</f>
        <v>4.3299999999999998E-2</v>
      </c>
      <c r="D193">
        <f t="shared" ref="D193" si="67">D190*(1+C190*3/360)</f>
        <v>1.022990255564582</v>
      </c>
      <c r="E193" s="45">
        <f t="shared" si="52"/>
        <v>4.3790962980156202E-2</v>
      </c>
      <c r="AC193" s="1">
        <f t="shared" si="47"/>
        <v>45943</v>
      </c>
      <c r="AD193">
        <f>IF(VLOOKUP(AC193,'FOMC exp '!$C$6:$C$22,1)=AC193,MATCH(AC193,'FOMC exp '!$C$6:$C$22,1),AD192)</f>
        <v>5</v>
      </c>
      <c r="AE193" s="18" cm="1">
        <f t="array" ref="AE193">INDEX('FOMC exp '!$C$6:$D$23,AD193,2)</f>
        <v>4.4999999999999998E-2</v>
      </c>
    </row>
    <row r="194" spans="1:31">
      <c r="A194" t="str">
        <f t="shared" si="46"/>
        <v>Tuesday</v>
      </c>
      <c r="B194" s="1">
        <f t="shared" si="48"/>
        <v>45944</v>
      </c>
      <c r="C194" s="45">
        <f>IF(LEFT(A194,1)="S","",VLOOKUP(B194,$AC$4:$AE$734,3)-'Quoting term rates'!$C$4)</f>
        <v>4.3299999999999998E-2</v>
      </c>
      <c r="D194">
        <f t="shared" ref="D194" si="68">D193*(1+C193*1/360)</f>
        <v>1.0231132985592097</v>
      </c>
      <c r="E194" s="45">
        <f t="shared" si="52"/>
        <v>4.3793618322713189E-2</v>
      </c>
      <c r="AC194" s="1">
        <f t="shared" si="47"/>
        <v>45944</v>
      </c>
      <c r="AD194">
        <f>IF(VLOOKUP(AC194,'FOMC exp '!$C$6:$C$22,1)=AC194,MATCH(AC194,'FOMC exp '!$C$6:$C$22,1),AD193)</f>
        <v>5</v>
      </c>
      <c r="AE194" s="18" cm="1">
        <f t="array" ref="AE194">INDEX('FOMC exp '!$C$6:$D$23,AD194,2)</f>
        <v>4.4999999999999998E-2</v>
      </c>
    </row>
    <row r="195" spans="1:31">
      <c r="A195" t="str">
        <f t="shared" si="46"/>
        <v>Wednesday</v>
      </c>
      <c r="B195" s="1">
        <f t="shared" si="48"/>
        <v>45945</v>
      </c>
      <c r="C195" s="45">
        <f>IF(LEFT(A195,1)="S","",VLOOKUP(B195,$AC$4:$AE$734,3)-'Quoting term rates'!$C$4)</f>
        <v>4.3299999999999998E-2</v>
      </c>
      <c r="D195">
        <f t="shared" si="49"/>
        <v>1.0232363563531754</v>
      </c>
      <c r="E195" s="45">
        <f t="shared" si="52"/>
        <v>4.3796273754676235E-2</v>
      </c>
      <c r="AC195" s="1">
        <f t="shared" si="47"/>
        <v>45945</v>
      </c>
      <c r="AD195">
        <f>IF(VLOOKUP(AC195,'FOMC exp '!$C$6:$C$22,1)=AC195,MATCH(AC195,'FOMC exp '!$C$6:$C$22,1),AD194)</f>
        <v>5</v>
      </c>
      <c r="AE195" s="18" cm="1">
        <f t="array" ref="AE195">INDEX('FOMC exp '!$C$6:$D$23,AD195,2)</f>
        <v>4.4999999999999998E-2</v>
      </c>
    </row>
    <row r="196" spans="1:31">
      <c r="A196" t="str">
        <f t="shared" si="46"/>
        <v>Thursday</v>
      </c>
      <c r="B196" s="1">
        <f t="shared" si="48"/>
        <v>45946</v>
      </c>
      <c r="C196" s="45">
        <f>IF(LEFT(A196,1)="S","",VLOOKUP(B196,$AC$4:$AE$734,3)-'Quoting term rates'!$C$4)</f>
        <v>4.3299999999999998E-2</v>
      </c>
      <c r="D196">
        <f t="shared" si="49"/>
        <v>1.023359428948259</v>
      </c>
      <c r="E196" s="45">
        <f t="shared" si="52"/>
        <v>4.3798929277985704E-2</v>
      </c>
      <c r="AC196" s="1">
        <f t="shared" si="47"/>
        <v>45946</v>
      </c>
      <c r="AD196">
        <f>IF(VLOOKUP(AC196,'FOMC exp '!$C$6:$C$22,1)=AC196,MATCH(AC196,'FOMC exp '!$C$6:$C$22,1),AD195)</f>
        <v>5</v>
      </c>
      <c r="AE196" s="18" cm="1">
        <f t="array" ref="AE196">INDEX('FOMC exp '!$C$6:$D$23,AD196,2)</f>
        <v>4.4999999999999998E-2</v>
      </c>
    </row>
    <row r="197" spans="1:31">
      <c r="A197" t="str">
        <f t="shared" ref="A197:A260" si="69">VLOOKUP(WEEKDAY(B197,2),$Z$2:$AA$8,2)</f>
        <v>Friday</v>
      </c>
      <c r="B197" s="1">
        <f t="shared" si="48"/>
        <v>45947</v>
      </c>
      <c r="C197" s="45">
        <f>IF(LEFT(A197,1)="S","",VLOOKUP(B197,$AC$4:$AE$734,3)-'Quoting term rates'!$C$4)</f>
        <v>4.3299999999999998E-2</v>
      </c>
      <c r="D197">
        <f t="shared" si="49"/>
        <v>1.0234825163462409</v>
      </c>
      <c r="E197" s="45">
        <f t="shared" si="52"/>
        <v>4.380158489454257E-2</v>
      </c>
      <c r="AC197" s="1">
        <f t="shared" ref="AC197:AC260" si="70">B197</f>
        <v>45947</v>
      </c>
      <c r="AD197">
        <f>IF(VLOOKUP(AC197,'FOMC exp '!$C$6:$C$22,1)=AC197,MATCH(AC197,'FOMC exp '!$C$6:$C$22,1),AD196)</f>
        <v>5</v>
      </c>
      <c r="AE197" s="18" cm="1">
        <f t="array" ref="AE197">INDEX('FOMC exp '!$C$6:$D$23,AD197,2)</f>
        <v>4.4999999999999998E-2</v>
      </c>
    </row>
    <row r="198" spans="1:31">
      <c r="A198" t="str">
        <f t="shared" si="69"/>
        <v>Saturday</v>
      </c>
      <c r="B198" s="1">
        <f t="shared" ref="B198:B261" si="71">B197+1</f>
        <v>45948</v>
      </c>
      <c r="C198" s="45" t="str">
        <f>IF(LEFT(A198,1)="S","",VLOOKUP(B198,$AC$4:$AE$734,3)-'Quoting term rates'!$C$4)</f>
        <v/>
      </c>
      <c r="E198" s="45" t="str">
        <f t="shared" si="52"/>
        <v/>
      </c>
      <c r="AC198" s="1">
        <f t="shared" si="70"/>
        <v>45948</v>
      </c>
      <c r="AD198">
        <f>IF(VLOOKUP(AC198,'FOMC exp '!$C$6:$C$22,1)=AC198,MATCH(AC198,'FOMC exp '!$C$6:$C$22,1),AD197)</f>
        <v>5</v>
      </c>
      <c r="AE198" s="18" cm="1">
        <f t="array" ref="AE198">INDEX('FOMC exp '!$C$6:$D$23,AD198,2)</f>
        <v>4.4999999999999998E-2</v>
      </c>
    </row>
    <row r="199" spans="1:31">
      <c r="A199" t="str">
        <f t="shared" si="69"/>
        <v>Sunday</v>
      </c>
      <c r="B199" s="1">
        <f t="shared" si="71"/>
        <v>45949</v>
      </c>
      <c r="C199" s="45" t="str">
        <f>IF(LEFT(A199,1)="S","",VLOOKUP(B199,$AC$4:$AE$734,3)-'Quoting term rates'!$C$4)</f>
        <v/>
      </c>
      <c r="E199" s="45" t="str">
        <f t="shared" si="52"/>
        <v/>
      </c>
      <c r="AC199" s="1">
        <f t="shared" si="70"/>
        <v>45949</v>
      </c>
      <c r="AD199">
        <f>IF(VLOOKUP(AC199,'FOMC exp '!$C$6:$C$22,1)=AC199,MATCH(AC199,'FOMC exp '!$C$6:$C$22,1),AD198)</f>
        <v>5</v>
      </c>
      <c r="AE199" s="18" cm="1">
        <f t="array" ref="AE199">INDEX('FOMC exp '!$C$6:$D$23,AD199,2)</f>
        <v>4.4999999999999998E-2</v>
      </c>
    </row>
    <row r="200" spans="1:31">
      <c r="A200" t="str">
        <f t="shared" si="69"/>
        <v>Monday</v>
      </c>
      <c r="B200" s="1">
        <f t="shared" si="71"/>
        <v>45950</v>
      </c>
      <c r="C200" s="45">
        <f>IF(LEFT(A200,1)="S","",VLOOKUP(B200,$AC$4:$AE$734,3)-'Quoting term rates'!$C$4)</f>
        <v>4.3299999999999998E-2</v>
      </c>
      <c r="D200">
        <f t="shared" ref="D200" si="72">D197*(1+C197*3/360)</f>
        <v>1.0238518229542226</v>
      </c>
      <c r="E200" s="45">
        <f t="shared" si="52"/>
        <v>4.3809470732245614E-2</v>
      </c>
      <c r="AC200" s="1">
        <f t="shared" si="70"/>
        <v>45950</v>
      </c>
      <c r="AD200">
        <f>IF(VLOOKUP(AC200,'FOMC exp '!$C$6:$C$22,1)=AC200,MATCH(AC200,'FOMC exp '!$C$6:$C$22,1),AD199)</f>
        <v>5</v>
      </c>
      <c r="AE200" s="18" cm="1">
        <f t="array" ref="AE200">INDEX('FOMC exp '!$C$6:$D$23,AD200,2)</f>
        <v>4.4999999999999998E-2</v>
      </c>
    </row>
    <row r="201" spans="1:31">
      <c r="A201" t="str">
        <f t="shared" si="69"/>
        <v>Tuesday</v>
      </c>
      <c r="B201" s="1">
        <f t="shared" si="71"/>
        <v>45951</v>
      </c>
      <c r="C201" s="45">
        <f>IF(LEFT(A201,1)="S","",VLOOKUP(B201,$AC$4:$AE$734,3)-'Quoting term rates'!$C$4)</f>
        <v>4.3299999999999998E-2</v>
      </c>
      <c r="D201">
        <f t="shared" ref="D201:D260" si="73">D200*(1+C200*1/360)</f>
        <v>1.0239749695762612</v>
      </c>
      <c r="E201" s="45">
        <f t="shared" si="52"/>
        <v>4.3812127144436747E-2</v>
      </c>
      <c r="AC201" s="1">
        <f t="shared" si="70"/>
        <v>45951</v>
      </c>
      <c r="AD201">
        <f>IF(VLOOKUP(AC201,'FOMC exp '!$C$6:$C$22,1)=AC201,MATCH(AC201,'FOMC exp '!$C$6:$C$22,1),AD200)</f>
        <v>5</v>
      </c>
      <c r="AE201" s="18" cm="1">
        <f t="array" ref="AE201">INDEX('FOMC exp '!$C$6:$D$23,AD201,2)</f>
        <v>4.4999999999999998E-2</v>
      </c>
    </row>
    <row r="202" spans="1:31">
      <c r="A202" t="str">
        <f t="shared" si="69"/>
        <v>Wednesday</v>
      </c>
      <c r="B202" s="1">
        <f t="shared" si="71"/>
        <v>45952</v>
      </c>
      <c r="C202" s="45">
        <f>IF(LEFT(A202,1)="S","",VLOOKUP(B202,$AC$4:$AE$734,3)-'Quoting term rates'!$C$4)</f>
        <v>4.3299999999999998E-2</v>
      </c>
      <c r="D202">
        <f t="shared" si="73"/>
        <v>1.0240981310101018</v>
      </c>
      <c r="E202" s="45">
        <f t="shared" si="52"/>
        <v>4.3814783654730599E-2</v>
      </c>
      <c r="AC202" s="1">
        <f t="shared" si="70"/>
        <v>45952</v>
      </c>
      <c r="AD202">
        <f>IF(VLOOKUP(AC202,'FOMC exp '!$C$6:$C$22,1)=AC202,MATCH(AC202,'FOMC exp '!$C$6:$C$22,1),AD201)</f>
        <v>5</v>
      </c>
      <c r="AE202" s="18" cm="1">
        <f t="array" ref="AE202">INDEX('FOMC exp '!$C$6:$D$23,AD202,2)</f>
        <v>4.4999999999999998E-2</v>
      </c>
    </row>
    <row r="203" spans="1:31">
      <c r="A203" t="str">
        <f t="shared" si="69"/>
        <v>Thursday</v>
      </c>
      <c r="B203" s="1">
        <f t="shared" si="71"/>
        <v>45953</v>
      </c>
      <c r="C203" s="45">
        <f>IF(LEFT(A203,1)="S","",VLOOKUP(B203,$AC$4:$AE$734,3)-'Quoting term rates'!$C$4)</f>
        <v>4.3299999999999998E-2</v>
      </c>
      <c r="D203">
        <f t="shared" si="73"/>
        <v>1.0242213072575261</v>
      </c>
      <c r="E203" s="45">
        <f t="shared" si="52"/>
        <v>4.3817440264871402E-2</v>
      </c>
      <c r="AC203" s="1">
        <f t="shared" si="70"/>
        <v>45953</v>
      </c>
      <c r="AD203">
        <f>IF(VLOOKUP(AC203,'FOMC exp '!$C$6:$C$22,1)=AC203,MATCH(AC203,'FOMC exp '!$C$6:$C$22,1),AD202)</f>
        <v>5</v>
      </c>
      <c r="AE203" s="18" cm="1">
        <f t="array" ref="AE203">INDEX('FOMC exp '!$C$6:$D$23,AD203,2)</f>
        <v>4.4999999999999998E-2</v>
      </c>
    </row>
    <row r="204" spans="1:31">
      <c r="A204" t="str">
        <f t="shared" si="69"/>
        <v>Friday</v>
      </c>
      <c r="B204" s="1">
        <f t="shared" si="71"/>
        <v>45954</v>
      </c>
      <c r="C204" s="45">
        <f>IF(LEFT(A204,1)="S","",VLOOKUP(B204,$AC$4:$AE$734,3)-'Quoting term rates'!$C$4)</f>
        <v>4.3299999999999998E-2</v>
      </c>
      <c r="D204">
        <f t="shared" si="73"/>
        <v>1.0243444983203158</v>
      </c>
      <c r="E204" s="45">
        <f t="shared" ref="E204:E267" si="74">IF((D204-1)*360/(B204-$B$4)&lt;0,"",(D204-1)*360/(B204-$B$4))</f>
        <v>4.3820096976568482E-2</v>
      </c>
      <c r="AC204" s="1">
        <f t="shared" si="70"/>
        <v>45954</v>
      </c>
      <c r="AD204">
        <f>IF(VLOOKUP(AC204,'FOMC exp '!$C$6:$C$22,1)=AC204,MATCH(AC204,'FOMC exp '!$C$6:$C$22,1),AD203)</f>
        <v>5</v>
      </c>
      <c r="AE204" s="18" cm="1">
        <f t="array" ref="AE204">INDEX('FOMC exp '!$C$6:$D$23,AD204,2)</f>
        <v>4.4999999999999998E-2</v>
      </c>
    </row>
    <row r="205" spans="1:31">
      <c r="A205" t="str">
        <f t="shared" si="69"/>
        <v>Saturday</v>
      </c>
      <c r="B205" s="1">
        <f t="shared" si="71"/>
        <v>45955</v>
      </c>
      <c r="C205" s="45" t="str">
        <f>IF(LEFT(A205,1)="S","",VLOOKUP(B205,$AC$4:$AE$734,3)-'Quoting term rates'!$C$4)</f>
        <v/>
      </c>
      <c r="E205" s="45" t="str">
        <f t="shared" si="74"/>
        <v/>
      </c>
      <c r="AC205" s="1">
        <f t="shared" si="70"/>
        <v>45955</v>
      </c>
      <c r="AD205">
        <f>IF(VLOOKUP(AC205,'FOMC exp '!$C$6:$C$22,1)=AC205,MATCH(AC205,'FOMC exp '!$C$6:$C$22,1),AD204)</f>
        <v>5</v>
      </c>
      <c r="AE205" s="18" cm="1">
        <f t="array" ref="AE205">INDEX('FOMC exp '!$C$6:$D$23,AD205,2)</f>
        <v>4.4999999999999998E-2</v>
      </c>
    </row>
    <row r="206" spans="1:31">
      <c r="A206" t="str">
        <f t="shared" si="69"/>
        <v>Sunday</v>
      </c>
      <c r="B206" s="1">
        <f t="shared" si="71"/>
        <v>45956</v>
      </c>
      <c r="C206" s="45" t="str">
        <f>IF(LEFT(A206,1)="S","",VLOOKUP(B206,$AC$4:$AE$734,3)-'Quoting term rates'!$C$4)</f>
        <v/>
      </c>
      <c r="E206" s="45" t="str">
        <f t="shared" si="74"/>
        <v/>
      </c>
      <c r="AC206" s="1">
        <f t="shared" si="70"/>
        <v>45956</v>
      </c>
      <c r="AD206">
        <f>IF(VLOOKUP(AC206,'FOMC exp '!$C$6:$C$22,1)=AC206,MATCH(AC206,'FOMC exp '!$C$6:$C$22,1),AD205)</f>
        <v>5</v>
      </c>
      <c r="AE206" s="18" cm="1">
        <f t="array" ref="AE206">INDEX('FOMC exp '!$C$6:$D$23,AD206,2)</f>
        <v>4.4999999999999998E-2</v>
      </c>
    </row>
    <row r="207" spans="1:31">
      <c r="A207" t="str">
        <f t="shared" si="69"/>
        <v>Monday</v>
      </c>
      <c r="B207" s="1">
        <f t="shared" si="71"/>
        <v>45957</v>
      </c>
      <c r="C207" s="45">
        <f>IF(LEFT(A207,1)="S","",VLOOKUP(B207,$AC$4:$AE$734,3)-'Quoting term rates'!$C$4)</f>
        <v>4.3299999999999998E-2</v>
      </c>
      <c r="D207">
        <f t="shared" ref="D207" si="75">D204*(1+C204*3/360)</f>
        <v>1.0247141159601265</v>
      </c>
      <c r="E207" s="45">
        <f t="shared" si="74"/>
        <v>4.3827988894805645E-2</v>
      </c>
      <c r="AC207" s="1">
        <f t="shared" si="70"/>
        <v>45957</v>
      </c>
      <c r="AD207">
        <f>IF(VLOOKUP(AC207,'FOMC exp '!$C$6:$C$22,1)=AC207,MATCH(AC207,'FOMC exp '!$C$6:$C$22,1),AD206)</f>
        <v>5</v>
      </c>
      <c r="AE207" s="18" cm="1">
        <f t="array" ref="AE207">INDEX('FOMC exp '!$C$6:$D$23,AD207,2)</f>
        <v>4.4999999999999998E-2</v>
      </c>
    </row>
    <row r="208" spans="1:31">
      <c r="A208" t="str">
        <f t="shared" si="69"/>
        <v>Tuesday</v>
      </c>
      <c r="B208" s="1">
        <f t="shared" si="71"/>
        <v>45958</v>
      </c>
      <c r="C208" s="45">
        <f>IF(LEFT(A208,1)="S","",VLOOKUP(B208,$AC$4:$AE$734,3)-'Quoting term rates'!$C$4)</f>
        <v>4.3299999999999998E-2</v>
      </c>
      <c r="D208">
        <f t="shared" ref="D208" si="76">D207*(1+C207*1/360)</f>
        <v>1.0248373662968517</v>
      </c>
      <c r="E208" s="45">
        <f t="shared" si="74"/>
        <v>4.3830646406208949E-2</v>
      </c>
      <c r="AC208" s="1">
        <f t="shared" si="70"/>
        <v>45958</v>
      </c>
      <c r="AD208">
        <f>IF(VLOOKUP(AC208,'FOMC exp '!$C$6:$C$22,1)=AC208,MATCH(AC208,'FOMC exp '!$C$6:$C$22,1),AD207)</f>
        <v>5</v>
      </c>
      <c r="AE208" s="18" cm="1">
        <f t="array" ref="AE208">INDEX('FOMC exp '!$C$6:$D$23,AD208,2)</f>
        <v>4.4999999999999998E-2</v>
      </c>
    </row>
    <row r="209" spans="1:31">
      <c r="A209" t="str">
        <f t="shared" si="69"/>
        <v>Wednesday</v>
      </c>
      <c r="B209" s="1">
        <f t="shared" si="71"/>
        <v>45959</v>
      </c>
      <c r="C209" s="45">
        <f>IF(LEFT(A209,1)="S","",VLOOKUP(B209,$AC$4:$AE$734,3)-'Quoting term rates'!$C$4)</f>
        <v>4.3299999999999998E-2</v>
      </c>
      <c r="D209">
        <f t="shared" si="73"/>
        <v>1.0249606314578537</v>
      </c>
      <c r="E209" s="45">
        <f t="shared" si="74"/>
        <v>4.3833304023547882E-2</v>
      </c>
      <c r="AC209" s="1">
        <f t="shared" si="70"/>
        <v>45959</v>
      </c>
      <c r="AD209">
        <f>IF(VLOOKUP(AC209,'FOMC exp '!$C$6:$C$22,1)=AC209,MATCH(AC209,'FOMC exp '!$C$6:$C$22,1),AD208)</f>
        <v>6</v>
      </c>
      <c r="AE209" s="18" cm="1">
        <f t="array" ref="AE209">INDEX('FOMC exp '!$C$6:$D$23,AD209,2)</f>
        <v>4.4999999999999998E-2</v>
      </c>
    </row>
    <row r="210" spans="1:31">
      <c r="A210" t="str">
        <f t="shared" si="69"/>
        <v>Thursday</v>
      </c>
      <c r="B210" s="1">
        <f t="shared" si="71"/>
        <v>45960</v>
      </c>
      <c r="C210" s="45">
        <f>IF(LEFT(A210,1)="S","",VLOOKUP(B210,$AC$4:$AE$734,3)-'Quoting term rates'!$C$4)</f>
        <v>4.3299999999999998E-2</v>
      </c>
      <c r="D210">
        <f t="shared" si="73"/>
        <v>1.0250839114449151</v>
      </c>
      <c r="E210" s="45">
        <f t="shared" si="74"/>
        <v>4.3835961748395255E-2</v>
      </c>
      <c r="AC210" s="1">
        <f t="shared" si="70"/>
        <v>45960</v>
      </c>
      <c r="AD210">
        <f>IF(VLOOKUP(AC210,'FOMC exp '!$C$6:$C$22,1)=AC210,MATCH(AC210,'FOMC exp '!$C$6:$C$22,1),AD209)</f>
        <v>6</v>
      </c>
      <c r="AE210" s="18" cm="1">
        <f t="array" ref="AE210">INDEX('FOMC exp '!$C$6:$D$23,AD210,2)</f>
        <v>4.4999999999999998E-2</v>
      </c>
    </row>
    <row r="211" spans="1:31">
      <c r="A211" t="str">
        <f t="shared" si="69"/>
        <v>Friday</v>
      </c>
      <c r="B211" s="1">
        <f t="shared" si="71"/>
        <v>45961</v>
      </c>
      <c r="C211" s="45">
        <f>IF(LEFT(A211,1)="S","",VLOOKUP(B211,$AC$4:$AE$734,3)-'Quoting term rates'!$C$4)</f>
        <v>4.3299999999999998E-2</v>
      </c>
      <c r="D211">
        <f t="shared" si="73"/>
        <v>1.0252072062598194</v>
      </c>
      <c r="E211" s="45">
        <f t="shared" si="74"/>
        <v>4.3838619582294652E-2</v>
      </c>
      <c r="AC211" s="1">
        <f t="shared" si="70"/>
        <v>45961</v>
      </c>
      <c r="AD211">
        <f>IF(VLOOKUP(AC211,'FOMC exp '!$C$6:$C$22,1)=AC211,MATCH(AC211,'FOMC exp '!$C$6:$C$22,1),AD210)</f>
        <v>6</v>
      </c>
      <c r="AE211" s="18" cm="1">
        <f t="array" ref="AE211">INDEX('FOMC exp '!$C$6:$D$23,AD211,2)</f>
        <v>4.4999999999999998E-2</v>
      </c>
    </row>
    <row r="212" spans="1:31">
      <c r="A212" t="str">
        <f t="shared" si="69"/>
        <v>Saturday</v>
      </c>
      <c r="B212" s="1">
        <f t="shared" si="71"/>
        <v>45962</v>
      </c>
      <c r="C212" s="45" t="str">
        <f>IF(LEFT(A212,1)="S","",VLOOKUP(B212,$AC$4:$AE$734,3)-'Quoting term rates'!$C$4)</f>
        <v/>
      </c>
      <c r="E212" s="45" t="str">
        <f t="shared" si="74"/>
        <v/>
      </c>
      <c r="AC212" s="1">
        <f t="shared" si="70"/>
        <v>45962</v>
      </c>
      <c r="AD212">
        <f>IF(VLOOKUP(AC212,'FOMC exp '!$C$6:$C$22,1)=AC212,MATCH(AC212,'FOMC exp '!$C$6:$C$22,1),AD211)</f>
        <v>6</v>
      </c>
      <c r="AE212" s="18" cm="1">
        <f t="array" ref="AE212">INDEX('FOMC exp '!$C$6:$D$23,AD212,2)</f>
        <v>4.4999999999999998E-2</v>
      </c>
    </row>
    <row r="213" spans="1:31">
      <c r="A213" t="str">
        <f t="shared" si="69"/>
        <v>Sunday</v>
      </c>
      <c r="B213" s="1">
        <f t="shared" si="71"/>
        <v>45963</v>
      </c>
      <c r="C213" s="45" t="str">
        <f>IF(LEFT(A213,1)="S","",VLOOKUP(B213,$AC$4:$AE$734,3)-'Quoting term rates'!$C$4)</f>
        <v/>
      </c>
      <c r="E213" s="45" t="str">
        <f t="shared" si="74"/>
        <v/>
      </c>
      <c r="AC213" s="1">
        <f t="shared" si="70"/>
        <v>45963</v>
      </c>
      <c r="AD213">
        <f>IF(VLOOKUP(AC213,'FOMC exp '!$C$6:$C$22,1)=AC213,MATCH(AC213,'FOMC exp '!$C$6:$C$22,1),AD212)</f>
        <v>6</v>
      </c>
      <c r="AE213" s="18" cm="1">
        <f t="array" ref="AE213">INDEX('FOMC exp '!$C$6:$D$23,AD213,2)</f>
        <v>4.4999999999999998E-2</v>
      </c>
    </row>
    <row r="214" spans="1:31">
      <c r="A214" t="str">
        <f t="shared" si="69"/>
        <v>Monday</v>
      </c>
      <c r="B214" s="1">
        <f t="shared" si="71"/>
        <v>45964</v>
      </c>
      <c r="C214" s="45">
        <f>IF(LEFT(A214,1)="S","",VLOOKUP(B214,$AC$4:$AE$734,3)-'Quoting term rates'!$C$4)</f>
        <v>4.3299999999999998E-2</v>
      </c>
      <c r="D214">
        <f t="shared" ref="D214" si="77">D211*(1+C211*3/360)</f>
        <v>1.0255771351934115</v>
      </c>
      <c r="E214" s="45">
        <f t="shared" si="74"/>
        <v>4.3846517474419776E-2</v>
      </c>
      <c r="AC214" s="1">
        <f t="shared" si="70"/>
        <v>45964</v>
      </c>
      <c r="AD214">
        <f>IF(VLOOKUP(AC214,'FOMC exp '!$C$6:$C$22,1)=AC214,MATCH(AC214,'FOMC exp '!$C$6:$C$22,1),AD213)</f>
        <v>6</v>
      </c>
      <c r="AE214" s="18" cm="1">
        <f t="array" ref="AE214">INDEX('FOMC exp '!$C$6:$D$23,AD214,2)</f>
        <v>4.4999999999999998E-2</v>
      </c>
    </row>
    <row r="215" spans="1:31">
      <c r="A215" t="str">
        <f t="shared" si="69"/>
        <v>Tuesday</v>
      </c>
      <c r="B215" s="1">
        <f t="shared" si="71"/>
        <v>45965</v>
      </c>
      <c r="C215" s="45">
        <f>IF(LEFT(A215,1)="S","",VLOOKUP(B215,$AC$4:$AE$734,3)-'Quoting term rates'!$C$4)</f>
        <v>4.3299999999999998E-2</v>
      </c>
      <c r="D215">
        <f t="shared" ref="D215" si="78">D214*(1+C214*1/360)</f>
        <v>1.0257004893321724</v>
      </c>
      <c r="E215" s="45">
        <f t="shared" si="74"/>
        <v>4.3849176111763324E-2</v>
      </c>
      <c r="AC215" s="1">
        <f t="shared" si="70"/>
        <v>45965</v>
      </c>
      <c r="AD215">
        <f>IF(VLOOKUP(AC215,'FOMC exp '!$C$6:$C$22,1)=AC215,MATCH(AC215,'FOMC exp '!$C$6:$C$22,1),AD214)</f>
        <v>6</v>
      </c>
      <c r="AE215" s="18" cm="1">
        <f t="array" ref="AE215">INDEX('FOMC exp '!$C$6:$D$23,AD215,2)</f>
        <v>4.4999999999999998E-2</v>
      </c>
    </row>
    <row r="216" spans="1:31">
      <c r="A216" t="str">
        <f t="shared" si="69"/>
        <v>Wednesday</v>
      </c>
      <c r="B216" s="1">
        <f t="shared" si="71"/>
        <v>45966</v>
      </c>
      <c r="C216" s="45">
        <f>IF(LEFT(A216,1)="S","",VLOOKUP(B216,$AC$4:$AE$734,3)-'Quoting term rates'!$C$4)</f>
        <v>4.3299999999999998E-2</v>
      </c>
      <c r="D216">
        <f t="shared" si="73"/>
        <v>1.0258238583076948</v>
      </c>
      <c r="E216" s="45">
        <f t="shared" si="74"/>
        <v>4.3851834862123323E-2</v>
      </c>
      <c r="AC216" s="1">
        <f t="shared" si="70"/>
        <v>45966</v>
      </c>
      <c r="AD216">
        <f>IF(VLOOKUP(AC216,'FOMC exp '!$C$6:$C$22,1)=AC216,MATCH(AC216,'FOMC exp '!$C$6:$C$22,1),AD215)</f>
        <v>6</v>
      </c>
      <c r="AE216" s="18" cm="1">
        <f t="array" ref="AE216">INDEX('FOMC exp '!$C$6:$D$23,AD216,2)</f>
        <v>4.4999999999999998E-2</v>
      </c>
    </row>
    <row r="217" spans="1:31">
      <c r="A217" t="str">
        <f t="shared" si="69"/>
        <v>Thursday</v>
      </c>
      <c r="B217" s="1">
        <f t="shared" si="71"/>
        <v>45967</v>
      </c>
      <c r="C217" s="45">
        <f>IF(LEFT(A217,1)="S","",VLOOKUP(B217,$AC$4:$AE$734,3)-'Quoting term rates'!$C$4)</f>
        <v>4.3299999999999998E-2</v>
      </c>
      <c r="D217">
        <f t="shared" si="73"/>
        <v>1.0259472421217635</v>
      </c>
      <c r="E217" s="45">
        <f t="shared" si="74"/>
        <v>4.3854493726924175E-2</v>
      </c>
      <c r="AC217" s="1">
        <f t="shared" si="70"/>
        <v>45967</v>
      </c>
      <c r="AD217">
        <f>IF(VLOOKUP(AC217,'FOMC exp '!$C$6:$C$22,1)=AC217,MATCH(AC217,'FOMC exp '!$C$6:$C$22,1),AD216)</f>
        <v>6</v>
      </c>
      <c r="AE217" s="18" cm="1">
        <f t="array" ref="AE217">INDEX('FOMC exp '!$C$6:$D$23,AD217,2)</f>
        <v>4.4999999999999998E-2</v>
      </c>
    </row>
    <row r="218" spans="1:31">
      <c r="A218" t="str">
        <f t="shared" si="69"/>
        <v>Friday</v>
      </c>
      <c r="B218" s="1">
        <f t="shared" si="71"/>
        <v>45968</v>
      </c>
      <c r="C218" s="45">
        <f>IF(LEFT(A218,1)="S","",VLOOKUP(B218,$AC$4:$AE$734,3)-'Quoting term rates'!$C$4)</f>
        <v>4.3299999999999998E-2</v>
      </c>
      <c r="D218">
        <f t="shared" si="73"/>
        <v>1.0260706407761631</v>
      </c>
      <c r="E218" s="45">
        <f t="shared" si="74"/>
        <v>4.3857152707564018E-2</v>
      </c>
      <c r="AC218" s="1">
        <f t="shared" si="70"/>
        <v>45968</v>
      </c>
      <c r="AD218">
        <f>IF(VLOOKUP(AC218,'FOMC exp '!$C$6:$C$22,1)=AC218,MATCH(AC218,'FOMC exp '!$C$6:$C$22,1),AD217)</f>
        <v>6</v>
      </c>
      <c r="AE218" s="18" cm="1">
        <f t="array" ref="AE218">INDEX('FOMC exp '!$C$6:$D$23,AD218,2)</f>
        <v>4.4999999999999998E-2</v>
      </c>
    </row>
    <row r="219" spans="1:31">
      <c r="A219" t="str">
        <f t="shared" si="69"/>
        <v>Saturday</v>
      </c>
      <c r="B219" s="1">
        <f t="shared" si="71"/>
        <v>45969</v>
      </c>
      <c r="C219" s="45" t="str">
        <f>IF(LEFT(A219,1)="S","",VLOOKUP(B219,$AC$4:$AE$734,3)-'Quoting term rates'!$C$4)</f>
        <v/>
      </c>
      <c r="E219" s="45" t="str">
        <f t="shared" si="74"/>
        <v/>
      </c>
      <c r="AC219" s="1">
        <f t="shared" si="70"/>
        <v>45969</v>
      </c>
      <c r="AD219">
        <f>IF(VLOOKUP(AC219,'FOMC exp '!$C$6:$C$22,1)=AC219,MATCH(AC219,'FOMC exp '!$C$6:$C$22,1),AD218)</f>
        <v>6</v>
      </c>
      <c r="AE219" s="18" cm="1">
        <f t="array" ref="AE219">INDEX('FOMC exp '!$C$6:$D$23,AD219,2)</f>
        <v>4.4999999999999998E-2</v>
      </c>
    </row>
    <row r="220" spans="1:31">
      <c r="A220" t="str">
        <f t="shared" si="69"/>
        <v>Sunday</v>
      </c>
      <c r="B220" s="1">
        <f t="shared" si="71"/>
        <v>45970</v>
      </c>
      <c r="C220" s="45" t="str">
        <f>IF(LEFT(A220,1)="S","",VLOOKUP(B220,$AC$4:$AE$734,3)-'Quoting term rates'!$C$4)</f>
        <v/>
      </c>
      <c r="E220" s="45" t="str">
        <f t="shared" si="74"/>
        <v/>
      </c>
      <c r="AC220" s="1">
        <f t="shared" si="70"/>
        <v>45970</v>
      </c>
      <c r="AD220">
        <f>IF(VLOOKUP(AC220,'FOMC exp '!$C$6:$C$22,1)=AC220,MATCH(AC220,'FOMC exp '!$C$6:$C$22,1),AD219)</f>
        <v>6</v>
      </c>
      <c r="AE220" s="18" cm="1">
        <f t="array" ref="AE220">INDEX('FOMC exp '!$C$6:$D$23,AD220,2)</f>
        <v>4.4999999999999998E-2</v>
      </c>
    </row>
    <row r="221" spans="1:31">
      <c r="A221" t="str">
        <f t="shared" si="69"/>
        <v>Monday</v>
      </c>
      <c r="B221" s="1">
        <f t="shared" si="71"/>
        <v>45971</v>
      </c>
      <c r="C221" s="45">
        <f>IF(LEFT(A221,1)="S","",VLOOKUP(B221,$AC$4:$AE$734,3)-'Quoting term rates'!$C$4)</f>
        <v>4.3299999999999998E-2</v>
      </c>
      <c r="D221">
        <f t="shared" ref="D221" si="79">D218*(1+C218*3/360)</f>
        <v>1.0264408812657098</v>
      </c>
      <c r="E221" s="45">
        <f t="shared" si="74"/>
        <v>4.3865056477675177E-2</v>
      </c>
      <c r="AC221" s="1">
        <f t="shared" si="70"/>
        <v>45971</v>
      </c>
      <c r="AD221">
        <f>IF(VLOOKUP(AC221,'FOMC exp '!$C$6:$C$22,1)=AC221,MATCH(AC221,'FOMC exp '!$C$6:$C$22,1),AD220)</f>
        <v>6</v>
      </c>
      <c r="AE221" s="18" cm="1">
        <f t="array" ref="AE221">INDEX('FOMC exp '!$C$6:$D$23,AD221,2)</f>
        <v>4.4999999999999998E-2</v>
      </c>
    </row>
    <row r="222" spans="1:31">
      <c r="A222" t="str">
        <f t="shared" si="69"/>
        <v>Tuesday</v>
      </c>
      <c r="B222" s="1">
        <f t="shared" si="71"/>
        <v>45972</v>
      </c>
      <c r="C222" s="45">
        <f>IF(LEFT(A222,1)="S","",VLOOKUP(B222,$AC$4:$AE$734,3)-'Quoting term rates'!$C$4)</f>
        <v>4.3299999999999998E-2</v>
      </c>
      <c r="D222">
        <f t="shared" ref="D222" si="80">D221*(1+C221*1/360)</f>
        <v>1.0265643392939288</v>
      </c>
      <c r="E222" s="45">
        <f t="shared" si="74"/>
        <v>4.3867716265203464E-2</v>
      </c>
      <c r="AC222" s="1">
        <f t="shared" si="70"/>
        <v>45972</v>
      </c>
      <c r="AD222">
        <f>IF(VLOOKUP(AC222,'FOMC exp '!$C$6:$C$22,1)=AC222,MATCH(AC222,'FOMC exp '!$C$6:$C$22,1),AD221)</f>
        <v>6</v>
      </c>
      <c r="AE222" s="18" cm="1">
        <f t="array" ref="AE222">INDEX('FOMC exp '!$C$6:$D$23,AD222,2)</f>
        <v>4.4999999999999998E-2</v>
      </c>
    </row>
    <row r="223" spans="1:31">
      <c r="A223" t="str">
        <f t="shared" si="69"/>
        <v>Wednesday</v>
      </c>
      <c r="B223" s="1">
        <f t="shared" si="71"/>
        <v>45973</v>
      </c>
      <c r="C223" s="45">
        <f>IF(LEFT(A223,1)="S","",VLOOKUP(B223,$AC$4:$AE$734,3)-'Quoting term rates'!$C$4)</f>
        <v>4.3299999999999998E-2</v>
      </c>
      <c r="D223">
        <f t="shared" si="73"/>
        <v>1.0266878121714049</v>
      </c>
      <c r="E223" s="45">
        <f t="shared" si="74"/>
        <v>4.3870376172172473E-2</v>
      </c>
      <c r="AC223" s="1">
        <f t="shared" si="70"/>
        <v>45973</v>
      </c>
      <c r="AD223">
        <f>IF(VLOOKUP(AC223,'FOMC exp '!$C$6:$C$22,1)=AC223,MATCH(AC223,'FOMC exp '!$C$6:$C$22,1),AD222)</f>
        <v>6</v>
      </c>
      <c r="AE223" s="18" cm="1">
        <f t="array" ref="AE223">INDEX('FOMC exp '!$C$6:$D$23,AD223,2)</f>
        <v>4.4999999999999998E-2</v>
      </c>
    </row>
    <row r="224" spans="1:31">
      <c r="A224" t="str">
        <f t="shared" si="69"/>
        <v>Thursday</v>
      </c>
      <c r="B224" s="1">
        <f t="shared" si="71"/>
        <v>45974</v>
      </c>
      <c r="C224" s="45">
        <f>IF(LEFT(A224,1)="S","",VLOOKUP(B224,$AC$4:$AE$734,3)-'Quoting term rates'!$C$4)</f>
        <v>4.3299999999999998E-2</v>
      </c>
      <c r="D224">
        <f t="shared" si="73"/>
        <v>1.0268112998999244</v>
      </c>
      <c r="E224" s="45">
        <f t="shared" si="74"/>
        <v>4.3873036199876238E-2</v>
      </c>
      <c r="AC224" s="1">
        <f t="shared" si="70"/>
        <v>45974</v>
      </c>
      <c r="AD224">
        <f>IF(VLOOKUP(AC224,'FOMC exp '!$C$6:$C$22,1)=AC224,MATCH(AC224,'FOMC exp '!$C$6:$C$22,1),AD223)</f>
        <v>6</v>
      </c>
      <c r="AE224" s="18" cm="1">
        <f t="array" ref="AE224">INDEX('FOMC exp '!$C$6:$D$23,AD224,2)</f>
        <v>4.4999999999999998E-2</v>
      </c>
    </row>
    <row r="225" spans="1:31">
      <c r="A225" t="str">
        <f t="shared" si="69"/>
        <v>Friday</v>
      </c>
      <c r="B225" s="1">
        <f t="shared" si="71"/>
        <v>45975</v>
      </c>
      <c r="C225" s="45">
        <f>IF(LEFT(A225,1)="S","",VLOOKUP(B225,$AC$4:$AE$734,3)-'Quoting term rates'!$C$4)</f>
        <v>4.3299999999999998E-2</v>
      </c>
      <c r="D225">
        <f t="shared" si="73"/>
        <v>1.0269348024812734</v>
      </c>
      <c r="E225" s="45">
        <f t="shared" si="74"/>
        <v>4.3875696349585706E-2</v>
      </c>
      <c r="AC225" s="1">
        <f t="shared" si="70"/>
        <v>45975</v>
      </c>
      <c r="AD225">
        <f>IF(VLOOKUP(AC225,'FOMC exp '!$C$6:$C$22,1)=AC225,MATCH(AC225,'FOMC exp '!$C$6:$C$22,1),AD224)</f>
        <v>6</v>
      </c>
      <c r="AE225" s="18" cm="1">
        <f t="array" ref="AE225">INDEX('FOMC exp '!$C$6:$D$23,AD225,2)</f>
        <v>4.4999999999999998E-2</v>
      </c>
    </row>
    <row r="226" spans="1:31">
      <c r="A226" t="str">
        <f t="shared" si="69"/>
        <v>Saturday</v>
      </c>
      <c r="B226" s="1">
        <f t="shared" si="71"/>
        <v>45976</v>
      </c>
      <c r="C226" s="45" t="str">
        <f>IF(LEFT(A226,1)="S","",VLOOKUP(B226,$AC$4:$AE$734,3)-'Quoting term rates'!$C$4)</f>
        <v/>
      </c>
      <c r="E226" s="45" t="str">
        <f t="shared" si="74"/>
        <v/>
      </c>
      <c r="AC226" s="1">
        <f t="shared" si="70"/>
        <v>45976</v>
      </c>
      <c r="AD226">
        <f>IF(VLOOKUP(AC226,'FOMC exp '!$C$6:$C$22,1)=AC226,MATCH(AC226,'FOMC exp '!$C$6:$C$22,1),AD225)</f>
        <v>6</v>
      </c>
      <c r="AE226" s="18" cm="1">
        <f t="array" ref="AE226">INDEX('FOMC exp '!$C$6:$D$23,AD226,2)</f>
        <v>4.4999999999999998E-2</v>
      </c>
    </row>
    <row r="227" spans="1:31">
      <c r="A227" t="str">
        <f t="shared" si="69"/>
        <v>Sunday</v>
      </c>
      <c r="B227" s="1">
        <f t="shared" si="71"/>
        <v>45977</v>
      </c>
      <c r="C227" s="45" t="str">
        <f>IF(LEFT(A227,1)="S","",VLOOKUP(B227,$AC$4:$AE$734,3)-'Quoting term rates'!$C$4)</f>
        <v/>
      </c>
      <c r="E227" s="45" t="str">
        <f t="shared" si="74"/>
        <v/>
      </c>
      <c r="AC227" s="1">
        <f t="shared" si="70"/>
        <v>45977</v>
      </c>
      <c r="AD227">
        <f>IF(VLOOKUP(AC227,'FOMC exp '!$C$6:$C$22,1)=AC227,MATCH(AC227,'FOMC exp '!$C$6:$C$22,1),AD226)</f>
        <v>6</v>
      </c>
      <c r="AE227" s="18" cm="1">
        <f t="array" ref="AE227">INDEX('FOMC exp '!$C$6:$D$23,AD227,2)</f>
        <v>4.4999999999999998E-2</v>
      </c>
    </row>
    <row r="228" spans="1:31">
      <c r="A228" t="str">
        <f t="shared" si="69"/>
        <v>Monday</v>
      </c>
      <c r="B228" s="1">
        <f t="shared" si="71"/>
        <v>45978</v>
      </c>
      <c r="C228" s="45">
        <f>IF(LEFT(A228,1)="S","",VLOOKUP(B228,$AC$4:$AE$734,3)-'Quoting term rates'!$C$4)</f>
        <v>4.3299999999999998E-2</v>
      </c>
      <c r="D228">
        <f t="shared" ref="D228" si="81">D225*(1+C225*3/360)</f>
        <v>1.0273053547891688</v>
      </c>
      <c r="E228" s="45">
        <f t="shared" si="74"/>
        <v>4.3883605911164213E-2</v>
      </c>
      <c r="AC228" s="1">
        <f t="shared" si="70"/>
        <v>45978</v>
      </c>
      <c r="AD228">
        <f>IF(VLOOKUP(AC228,'FOMC exp '!$C$6:$C$22,1)=AC228,MATCH(AC228,'FOMC exp '!$C$6:$C$22,1),AD227)</f>
        <v>6</v>
      </c>
      <c r="AE228" s="18" cm="1">
        <f t="array" ref="AE228">INDEX('FOMC exp '!$C$6:$D$23,AD228,2)</f>
        <v>4.4999999999999998E-2</v>
      </c>
    </row>
    <row r="229" spans="1:31">
      <c r="A229" t="str">
        <f t="shared" si="69"/>
        <v>Tuesday</v>
      </c>
      <c r="B229" s="1">
        <f t="shared" si="71"/>
        <v>45979</v>
      </c>
      <c r="C229" s="45">
        <f>IF(LEFT(A229,1)="S","",VLOOKUP(B229,$AC$4:$AE$734,3)-'Quoting term rates'!$C$4)</f>
        <v>4.3299999999999998E-2</v>
      </c>
      <c r="D229">
        <f t="shared" ref="D229" si="82">D228*(1+C228*1/360)</f>
        <v>1.027428916794342</v>
      </c>
      <c r="E229" s="45">
        <f t="shared" si="74"/>
        <v>4.388626687094721E-2</v>
      </c>
      <c r="AC229" s="1">
        <f t="shared" si="70"/>
        <v>45979</v>
      </c>
      <c r="AD229">
        <f>IF(VLOOKUP(AC229,'FOMC exp '!$C$6:$C$22,1)=AC229,MATCH(AC229,'FOMC exp '!$C$6:$C$22,1),AD228)</f>
        <v>6</v>
      </c>
      <c r="AE229" s="18" cm="1">
        <f t="array" ref="AE229">INDEX('FOMC exp '!$C$6:$D$23,AD229,2)</f>
        <v>4.4999999999999998E-2</v>
      </c>
    </row>
    <row r="230" spans="1:31">
      <c r="A230" t="str">
        <f t="shared" si="69"/>
        <v>Wednesday</v>
      </c>
      <c r="B230" s="1">
        <f t="shared" si="71"/>
        <v>45980</v>
      </c>
      <c r="C230" s="45">
        <f>IF(LEFT(A230,1)="S","",VLOOKUP(B230,$AC$4:$AE$734,3)-'Quoting term rates'!$C$4)</f>
        <v>4.3299999999999998E-2</v>
      </c>
      <c r="D230">
        <f t="shared" si="73"/>
        <v>1.0275524936612788</v>
      </c>
      <c r="E230" s="45">
        <f t="shared" si="74"/>
        <v>4.3888927956019272E-2</v>
      </c>
      <c r="AC230" s="1">
        <f t="shared" si="70"/>
        <v>45980</v>
      </c>
      <c r="AD230">
        <f>IF(VLOOKUP(AC230,'FOMC exp '!$C$6:$C$22,1)=AC230,MATCH(AC230,'FOMC exp '!$C$6:$C$22,1),AD229)</f>
        <v>6</v>
      </c>
      <c r="AE230" s="18" cm="1">
        <f t="array" ref="AE230">INDEX('FOMC exp '!$C$6:$D$23,AD230,2)</f>
        <v>4.4999999999999998E-2</v>
      </c>
    </row>
    <row r="231" spans="1:31">
      <c r="A231" t="str">
        <f t="shared" si="69"/>
        <v>Thursday</v>
      </c>
      <c r="B231" s="1">
        <f t="shared" si="71"/>
        <v>45981</v>
      </c>
      <c r="C231" s="45">
        <f>IF(LEFT(A231,1)="S","",VLOOKUP(B231,$AC$4:$AE$734,3)-'Quoting term rates'!$C$4)</f>
        <v>4.3299999999999998E-2</v>
      </c>
      <c r="D231">
        <f t="shared" si="73"/>
        <v>1.0276760853917664</v>
      </c>
      <c r="E231" s="45">
        <f t="shared" si="74"/>
        <v>4.3891589167558982E-2</v>
      </c>
      <c r="AC231" s="1">
        <f t="shared" si="70"/>
        <v>45981</v>
      </c>
      <c r="AD231">
        <f>IF(VLOOKUP(AC231,'FOMC exp '!$C$6:$C$22,1)=AC231,MATCH(AC231,'FOMC exp '!$C$6:$C$22,1),AD230)</f>
        <v>6</v>
      </c>
      <c r="AE231" s="18" cm="1">
        <f t="array" ref="AE231">INDEX('FOMC exp '!$C$6:$D$23,AD231,2)</f>
        <v>4.4999999999999998E-2</v>
      </c>
    </row>
    <row r="232" spans="1:31">
      <c r="A232" t="str">
        <f t="shared" si="69"/>
        <v>Friday</v>
      </c>
      <c r="B232" s="1">
        <f t="shared" si="71"/>
        <v>45982</v>
      </c>
      <c r="C232" s="45">
        <f>IF(LEFT(A232,1)="S","",VLOOKUP(B232,$AC$4:$AE$734,3)-'Quoting term rates'!$C$4)</f>
        <v>4.3299999999999998E-2</v>
      </c>
      <c r="D232">
        <f t="shared" si="73"/>
        <v>1.0277996919875927</v>
      </c>
      <c r="E232" s="45">
        <f t="shared" si="74"/>
        <v>4.3894250506725296E-2</v>
      </c>
      <c r="AC232" s="1">
        <f t="shared" si="70"/>
        <v>45982</v>
      </c>
      <c r="AD232">
        <f>IF(VLOOKUP(AC232,'FOMC exp '!$C$6:$C$22,1)=AC232,MATCH(AC232,'FOMC exp '!$C$6:$C$22,1),AD231)</f>
        <v>6</v>
      </c>
      <c r="AE232" s="18" cm="1">
        <f t="array" ref="AE232">INDEX('FOMC exp '!$C$6:$D$23,AD232,2)</f>
        <v>4.4999999999999998E-2</v>
      </c>
    </row>
    <row r="233" spans="1:31">
      <c r="A233" t="str">
        <f t="shared" si="69"/>
        <v>Saturday</v>
      </c>
      <c r="B233" s="1">
        <f t="shared" si="71"/>
        <v>45983</v>
      </c>
      <c r="C233" s="45" t="str">
        <f>IF(LEFT(A233,1)="S","",VLOOKUP(B233,$AC$4:$AE$734,3)-'Quoting term rates'!$C$4)</f>
        <v/>
      </c>
      <c r="E233" s="45" t="str">
        <f t="shared" si="74"/>
        <v/>
      </c>
      <c r="AC233" s="1">
        <f t="shared" si="70"/>
        <v>45983</v>
      </c>
      <c r="AD233">
        <f>IF(VLOOKUP(AC233,'FOMC exp '!$C$6:$C$22,1)=AC233,MATCH(AC233,'FOMC exp '!$C$6:$C$22,1),AD232)</f>
        <v>6</v>
      </c>
      <c r="AE233" s="18" cm="1">
        <f t="array" ref="AE233">INDEX('FOMC exp '!$C$6:$D$23,AD233,2)</f>
        <v>4.4999999999999998E-2</v>
      </c>
    </row>
    <row r="234" spans="1:31">
      <c r="A234" t="str">
        <f t="shared" si="69"/>
        <v>Sunday</v>
      </c>
      <c r="B234" s="1">
        <f t="shared" si="71"/>
        <v>45984</v>
      </c>
      <c r="C234" s="45" t="str">
        <f>IF(LEFT(A234,1)="S","",VLOOKUP(B234,$AC$4:$AE$734,3)-'Quoting term rates'!$C$4)</f>
        <v/>
      </c>
      <c r="E234" s="45" t="str">
        <f t="shared" si="74"/>
        <v/>
      </c>
      <c r="AC234" s="1">
        <f t="shared" si="70"/>
        <v>45984</v>
      </c>
      <c r="AD234">
        <f>IF(VLOOKUP(AC234,'FOMC exp '!$C$6:$C$22,1)=AC234,MATCH(AC234,'FOMC exp '!$C$6:$C$22,1),AD233)</f>
        <v>6</v>
      </c>
      <c r="AE234" s="18" cm="1">
        <f t="array" ref="AE234">INDEX('FOMC exp '!$C$6:$D$23,AD234,2)</f>
        <v>4.4999999999999998E-2</v>
      </c>
    </row>
    <row r="235" spans="1:31">
      <c r="A235" t="str">
        <f t="shared" si="69"/>
        <v>Monday</v>
      </c>
      <c r="B235" s="1">
        <f t="shared" si="71"/>
        <v>45985</v>
      </c>
      <c r="C235" s="45">
        <f>IF(LEFT(A235,1)="S","",VLOOKUP(B235,$AC$4:$AE$734,3)-'Quoting term rates'!$C$4)</f>
        <v>4.3299999999999998E-2</v>
      </c>
      <c r="D235">
        <f t="shared" ref="D235" si="83">D232*(1+C232*3/360)</f>
        <v>1.0281705563764516</v>
      </c>
      <c r="E235" s="45">
        <f t="shared" si="74"/>
        <v>4.3902165781483024E-2</v>
      </c>
      <c r="AC235" s="1">
        <f t="shared" si="70"/>
        <v>45985</v>
      </c>
      <c r="AD235">
        <f>IF(VLOOKUP(AC235,'FOMC exp '!$C$6:$C$22,1)=AC235,MATCH(AC235,'FOMC exp '!$C$6:$C$22,1),AD234)</f>
        <v>6</v>
      </c>
      <c r="AE235" s="18" cm="1">
        <f t="array" ref="AE235">INDEX('FOMC exp '!$C$6:$D$23,AD235,2)</f>
        <v>4.4999999999999998E-2</v>
      </c>
    </row>
    <row r="236" spans="1:31">
      <c r="A236" t="str">
        <f t="shared" si="69"/>
        <v>Tuesday</v>
      </c>
      <c r="B236" s="1">
        <f t="shared" si="71"/>
        <v>45986</v>
      </c>
      <c r="C236" s="45">
        <f>IF(LEFT(A236,1)="S","",VLOOKUP(B236,$AC$4:$AE$734,3)-'Quoting term rates'!$C$4)</f>
        <v>4.3299999999999998E-2</v>
      </c>
      <c r="D236">
        <f t="shared" ref="D236" si="84">D235*(1+C235*1/360)</f>
        <v>1.0282942224461491</v>
      </c>
      <c r="E236" s="45">
        <f t="shared" si="74"/>
        <v>4.3904827933679634E-2</v>
      </c>
      <c r="AC236" s="1">
        <f t="shared" si="70"/>
        <v>45986</v>
      </c>
      <c r="AD236">
        <f>IF(VLOOKUP(AC236,'FOMC exp '!$C$6:$C$22,1)=AC236,MATCH(AC236,'FOMC exp '!$C$6:$C$22,1),AD235)</f>
        <v>6</v>
      </c>
      <c r="AE236" s="18" cm="1">
        <f t="array" ref="AE236">INDEX('FOMC exp '!$C$6:$D$23,AD236,2)</f>
        <v>4.4999999999999998E-2</v>
      </c>
    </row>
    <row r="237" spans="1:31">
      <c r="A237" t="str">
        <f t="shared" si="69"/>
        <v>Wednesday</v>
      </c>
      <c r="B237" s="1">
        <f t="shared" si="71"/>
        <v>45987</v>
      </c>
      <c r="C237" s="45">
        <f>IF(LEFT(A237,1)="S","",VLOOKUP(B237,$AC$4:$AE$734,3)-'Quoting term rates'!$C$4)</f>
        <v>4.3299999999999998E-2</v>
      </c>
      <c r="D237">
        <f t="shared" si="73"/>
        <v>1.0284179033901266</v>
      </c>
      <c r="E237" s="45">
        <f t="shared" si="74"/>
        <v>4.3907490216504648E-2</v>
      </c>
      <c r="AC237" s="1">
        <f t="shared" si="70"/>
        <v>45987</v>
      </c>
      <c r="AD237">
        <f>IF(VLOOKUP(AC237,'FOMC exp '!$C$6:$C$22,1)=AC237,MATCH(AC237,'FOMC exp '!$C$6:$C$22,1),AD236)</f>
        <v>6</v>
      </c>
      <c r="AE237" s="18" cm="1">
        <f t="array" ref="AE237">INDEX('FOMC exp '!$C$6:$D$23,AD237,2)</f>
        <v>4.4999999999999998E-2</v>
      </c>
    </row>
    <row r="238" spans="1:31">
      <c r="A238" t="str">
        <f t="shared" si="69"/>
        <v>Thursday</v>
      </c>
      <c r="B238" s="1">
        <f t="shared" si="71"/>
        <v>45988</v>
      </c>
      <c r="C238" s="45">
        <f>IF(LEFT(A238,1)="S","",VLOOKUP(B238,$AC$4:$AE$734,3)-'Quoting term rates'!$C$4)</f>
        <v>4.3299999999999998E-2</v>
      </c>
      <c r="D238">
        <f t="shared" si="73"/>
        <v>1.0285415992101732</v>
      </c>
      <c r="E238" s="45">
        <f t="shared" si="74"/>
        <v>4.3910152631035669E-2</v>
      </c>
      <c r="AC238" s="1">
        <f t="shared" si="70"/>
        <v>45988</v>
      </c>
      <c r="AD238">
        <f>IF(VLOOKUP(AC238,'FOMC exp '!$C$6:$C$22,1)=AC238,MATCH(AC238,'FOMC exp '!$C$6:$C$22,1),AD237)</f>
        <v>6</v>
      </c>
      <c r="AE238" s="18" cm="1">
        <f t="array" ref="AE238">INDEX('FOMC exp '!$C$6:$D$23,AD238,2)</f>
        <v>4.4999999999999998E-2</v>
      </c>
    </row>
    <row r="239" spans="1:31">
      <c r="A239" t="str">
        <f t="shared" si="69"/>
        <v>Friday</v>
      </c>
      <c r="B239" s="1">
        <f t="shared" si="71"/>
        <v>45989</v>
      </c>
      <c r="C239" s="45">
        <f>IF(LEFT(A239,1)="S","",VLOOKUP(B239,$AC$4:$AE$734,3)-'Quoting term rates'!$C$4)</f>
        <v>4.3299999999999998E-2</v>
      </c>
      <c r="D239">
        <f t="shared" si="73"/>
        <v>1.0286653099080783</v>
      </c>
      <c r="E239" s="45">
        <f t="shared" si="74"/>
        <v>4.3912815178332641E-2</v>
      </c>
      <c r="AC239" s="1">
        <f t="shared" si="70"/>
        <v>45989</v>
      </c>
      <c r="AD239">
        <f>IF(VLOOKUP(AC239,'FOMC exp '!$C$6:$C$22,1)=AC239,MATCH(AC239,'FOMC exp '!$C$6:$C$22,1),AD238)</f>
        <v>6</v>
      </c>
      <c r="AE239" s="18" cm="1">
        <f t="array" ref="AE239">INDEX('FOMC exp '!$C$6:$D$23,AD239,2)</f>
        <v>4.4999999999999998E-2</v>
      </c>
    </row>
    <row r="240" spans="1:31">
      <c r="A240" t="str">
        <f t="shared" si="69"/>
        <v>Saturday</v>
      </c>
      <c r="B240" s="1">
        <f t="shared" si="71"/>
        <v>45990</v>
      </c>
      <c r="C240" s="45" t="str">
        <f>IF(LEFT(A240,1)="S","",VLOOKUP(B240,$AC$4:$AE$734,3)-'Quoting term rates'!$C$4)</f>
        <v/>
      </c>
      <c r="E240" s="45" t="str">
        <f t="shared" si="74"/>
        <v/>
      </c>
      <c r="AC240" s="1">
        <f t="shared" si="70"/>
        <v>45990</v>
      </c>
      <c r="AD240">
        <f>IF(VLOOKUP(AC240,'FOMC exp '!$C$6:$C$22,1)=AC240,MATCH(AC240,'FOMC exp '!$C$6:$C$22,1),AD239)</f>
        <v>6</v>
      </c>
      <c r="AE240" s="18" cm="1">
        <f t="array" ref="AE240">INDEX('FOMC exp '!$C$6:$D$23,AD240,2)</f>
        <v>4.4999999999999998E-2</v>
      </c>
    </row>
    <row r="241" spans="1:31">
      <c r="A241" t="str">
        <f t="shared" si="69"/>
        <v>Sunday</v>
      </c>
      <c r="B241" s="1">
        <f t="shared" si="71"/>
        <v>45991</v>
      </c>
      <c r="C241" s="45" t="str">
        <f>IF(LEFT(A241,1)="S","",VLOOKUP(B241,$AC$4:$AE$734,3)-'Quoting term rates'!$C$4)</f>
        <v/>
      </c>
      <c r="E241" s="45" t="str">
        <f t="shared" si="74"/>
        <v/>
      </c>
      <c r="AC241" s="1">
        <f t="shared" si="70"/>
        <v>45991</v>
      </c>
      <c r="AD241">
        <f>IF(VLOOKUP(AC241,'FOMC exp '!$C$6:$C$22,1)=AC241,MATCH(AC241,'FOMC exp '!$C$6:$C$22,1),AD240)</f>
        <v>6</v>
      </c>
      <c r="AE241" s="18" cm="1">
        <f t="array" ref="AE241">INDEX('FOMC exp '!$C$6:$D$23,AD241,2)</f>
        <v>4.4999999999999998E-2</v>
      </c>
    </row>
    <row r="242" spans="1:31">
      <c r="A242" t="str">
        <f t="shared" si="69"/>
        <v>Monday</v>
      </c>
      <c r="B242" s="1">
        <f t="shared" si="71"/>
        <v>45992</v>
      </c>
      <c r="C242" s="45">
        <f>IF(LEFT(A242,1)="S","",VLOOKUP(B242,$AC$4:$AE$734,3)-'Quoting term rates'!$C$4)</f>
        <v>4.3299999999999998E-2</v>
      </c>
      <c r="D242">
        <f t="shared" ref="D242" si="85">D239*(1+C239*3/360)</f>
        <v>1.0290364866407369</v>
      </c>
      <c r="E242" s="45">
        <f t="shared" si="74"/>
        <v>4.3920736095232255E-2</v>
      </c>
      <c r="AC242" s="1">
        <f t="shared" si="70"/>
        <v>45992</v>
      </c>
      <c r="AD242">
        <f>IF(VLOOKUP(AC242,'FOMC exp '!$C$6:$C$22,1)=AC242,MATCH(AC242,'FOMC exp '!$C$6:$C$22,1),AD241)</f>
        <v>6</v>
      </c>
      <c r="AE242" s="18" cm="1">
        <f t="array" ref="AE242">INDEX('FOMC exp '!$C$6:$D$23,AD242,2)</f>
        <v>4.4999999999999998E-2</v>
      </c>
    </row>
    <row r="243" spans="1:31">
      <c r="A243" t="str">
        <f t="shared" si="69"/>
        <v>Tuesday</v>
      </c>
      <c r="B243" s="1">
        <f t="shared" si="71"/>
        <v>45993</v>
      </c>
      <c r="C243" s="45">
        <f>IF(LEFT(A243,1)="S","",VLOOKUP(B243,$AC$4:$AE$734,3)-'Quoting term rates'!$C$4)</f>
        <v>4.3299999999999998E-2</v>
      </c>
      <c r="D243">
        <f t="shared" ref="D243" si="86">D242*(1+C242*1/360)</f>
        <v>1.0291602568626024</v>
      </c>
      <c r="E243" s="45">
        <f t="shared" si="74"/>
        <v>4.3923399458313202E-2</v>
      </c>
      <c r="AC243" s="1">
        <f t="shared" si="70"/>
        <v>45993</v>
      </c>
      <c r="AD243">
        <f>IF(VLOOKUP(AC243,'FOMC exp '!$C$6:$C$22,1)=AC243,MATCH(AC243,'FOMC exp '!$C$6:$C$22,1),AD242)</f>
        <v>6</v>
      </c>
      <c r="AE243" s="18" cm="1">
        <f t="array" ref="AE243">INDEX('FOMC exp '!$C$6:$D$23,AD243,2)</f>
        <v>4.4999999999999998E-2</v>
      </c>
    </row>
    <row r="244" spans="1:31">
      <c r="A244" t="str">
        <f t="shared" si="69"/>
        <v>Wednesday</v>
      </c>
      <c r="B244" s="1">
        <f t="shared" si="71"/>
        <v>45994</v>
      </c>
      <c r="C244" s="45">
        <f>IF(LEFT(A244,1)="S","",VLOOKUP(B244,$AC$4:$AE$734,3)-'Quoting term rates'!$C$4)</f>
        <v>4.3299999999999998E-2</v>
      </c>
      <c r="D244">
        <f t="shared" si="73"/>
        <v>1.029284041971275</v>
      </c>
      <c r="E244" s="45">
        <f t="shared" si="74"/>
        <v>4.3926062956912482E-2</v>
      </c>
      <c r="AC244" s="1">
        <f t="shared" si="70"/>
        <v>45994</v>
      </c>
      <c r="AD244">
        <f>IF(VLOOKUP(AC244,'FOMC exp '!$C$6:$C$22,1)=AC244,MATCH(AC244,'FOMC exp '!$C$6:$C$22,1),AD243)</f>
        <v>6</v>
      </c>
      <c r="AE244" s="18" cm="1">
        <f t="array" ref="AE244">INDEX('FOMC exp '!$C$6:$D$23,AD244,2)</f>
        <v>4.4999999999999998E-2</v>
      </c>
    </row>
    <row r="245" spans="1:31">
      <c r="A245" t="str">
        <f t="shared" si="69"/>
        <v>Thursday</v>
      </c>
      <c r="B245" s="1">
        <f t="shared" si="71"/>
        <v>45995</v>
      </c>
      <c r="C245" s="45">
        <f>IF(LEFT(A245,1)="S","",VLOOKUP(B245,$AC$4:$AE$734,3)-'Quoting term rates'!$C$4)</f>
        <v>4.3299999999999998E-2</v>
      </c>
      <c r="D245">
        <f t="shared" si="73"/>
        <v>1.0294078419685455</v>
      </c>
      <c r="E245" s="45">
        <f t="shared" si="74"/>
        <v>4.3928726592018193E-2</v>
      </c>
      <c r="AC245" s="1">
        <f t="shared" si="70"/>
        <v>45995</v>
      </c>
      <c r="AD245">
        <f>IF(VLOOKUP(AC245,'FOMC exp '!$C$6:$C$22,1)=AC245,MATCH(AC245,'FOMC exp '!$C$6:$C$22,1),AD244)</f>
        <v>6</v>
      </c>
      <c r="AE245" s="18" cm="1">
        <f t="array" ref="AE245">INDEX('FOMC exp '!$C$6:$D$23,AD245,2)</f>
        <v>4.4999999999999998E-2</v>
      </c>
    </row>
    <row r="246" spans="1:31">
      <c r="A246" t="str">
        <f t="shared" si="69"/>
        <v>Friday</v>
      </c>
      <c r="B246" s="1">
        <f t="shared" si="71"/>
        <v>45996</v>
      </c>
      <c r="C246" s="45">
        <f>IF(LEFT(A246,1)="S","",VLOOKUP(B246,$AC$4:$AE$734,3)-'Quoting term rates'!$C$4)</f>
        <v>4.3299999999999998E-2</v>
      </c>
      <c r="D246">
        <f t="shared" si="73"/>
        <v>1.0295316568562045</v>
      </c>
      <c r="E246" s="45">
        <f t="shared" si="74"/>
        <v>4.3931390364601752E-2</v>
      </c>
      <c r="AC246" s="1">
        <f t="shared" si="70"/>
        <v>45996</v>
      </c>
      <c r="AD246">
        <f>IF(VLOOKUP(AC246,'FOMC exp '!$C$6:$C$22,1)=AC246,MATCH(AC246,'FOMC exp '!$C$6:$C$22,1),AD245)</f>
        <v>6</v>
      </c>
      <c r="AE246" s="18" cm="1">
        <f t="array" ref="AE246">INDEX('FOMC exp '!$C$6:$D$23,AD246,2)</f>
        <v>4.4999999999999998E-2</v>
      </c>
    </row>
    <row r="247" spans="1:31">
      <c r="A247" t="str">
        <f t="shared" si="69"/>
        <v>Saturday</v>
      </c>
      <c r="B247" s="1">
        <f t="shared" si="71"/>
        <v>45997</v>
      </c>
      <c r="C247" s="45" t="str">
        <f>IF(LEFT(A247,1)="S","",VLOOKUP(B247,$AC$4:$AE$734,3)-'Quoting term rates'!$C$4)</f>
        <v/>
      </c>
      <c r="E247" s="45" t="str">
        <f t="shared" si="74"/>
        <v/>
      </c>
      <c r="AC247" s="1">
        <f t="shared" si="70"/>
        <v>45997</v>
      </c>
      <c r="AD247">
        <f>IF(VLOOKUP(AC247,'FOMC exp '!$C$6:$C$22,1)=AC247,MATCH(AC247,'FOMC exp '!$C$6:$C$22,1),AD246)</f>
        <v>6</v>
      </c>
      <c r="AE247" s="18" cm="1">
        <f t="array" ref="AE247">INDEX('FOMC exp '!$C$6:$D$23,AD247,2)</f>
        <v>4.4999999999999998E-2</v>
      </c>
    </row>
    <row r="248" spans="1:31">
      <c r="A248" t="str">
        <f t="shared" si="69"/>
        <v>Sunday</v>
      </c>
      <c r="B248" s="1">
        <f t="shared" si="71"/>
        <v>45998</v>
      </c>
      <c r="C248" s="45" t="str">
        <f>IF(LEFT(A248,1)="S","",VLOOKUP(B248,$AC$4:$AE$734,3)-'Quoting term rates'!$C$4)</f>
        <v/>
      </c>
      <c r="E248" s="45" t="str">
        <f t="shared" si="74"/>
        <v/>
      </c>
      <c r="AC248" s="1">
        <f t="shared" si="70"/>
        <v>45998</v>
      </c>
      <c r="AD248">
        <f>IF(VLOOKUP(AC248,'FOMC exp '!$C$6:$C$22,1)=AC248,MATCH(AC248,'FOMC exp '!$C$6:$C$22,1),AD247)</f>
        <v>6</v>
      </c>
      <c r="AE248" s="18" cm="1">
        <f t="array" ref="AE248">INDEX('FOMC exp '!$C$6:$D$23,AD248,2)</f>
        <v>4.4999999999999998E-2</v>
      </c>
    </row>
    <row r="249" spans="1:31">
      <c r="A249" t="str">
        <f t="shared" si="69"/>
        <v>Monday</v>
      </c>
      <c r="B249" s="1">
        <f t="shared" si="71"/>
        <v>45999</v>
      </c>
      <c r="C249" s="45">
        <f>IF(LEFT(A249,1)="S","",VLOOKUP(B249,$AC$4:$AE$734,3)-'Quoting term rates'!$C$4)</f>
        <v>4.3299999999999998E-2</v>
      </c>
      <c r="D249">
        <f t="shared" ref="D249" si="87">D246*(1+C246*3/360)</f>
        <v>1.0299031461957202</v>
      </c>
      <c r="E249" s="45">
        <f t="shared" si="74"/>
        <v>4.3939316859017453E-2</v>
      </c>
      <c r="AC249" s="1">
        <f t="shared" si="70"/>
        <v>45999</v>
      </c>
      <c r="AD249">
        <f>IF(VLOOKUP(AC249,'FOMC exp '!$C$6:$C$22,1)=AC249,MATCH(AC249,'FOMC exp '!$C$6:$C$22,1),AD248)</f>
        <v>6</v>
      </c>
      <c r="AE249" s="18" cm="1">
        <f t="array" ref="AE249">INDEX('FOMC exp '!$C$6:$D$23,AD249,2)</f>
        <v>4.4999999999999998E-2</v>
      </c>
    </row>
    <row r="250" spans="1:31">
      <c r="A250" t="str">
        <f t="shared" si="69"/>
        <v>Tuesday</v>
      </c>
      <c r="B250" s="1">
        <f t="shared" si="71"/>
        <v>46000</v>
      </c>
      <c r="C250" s="45">
        <f>IF(LEFT(A250,1)="S","",VLOOKUP(B250,$AC$4:$AE$734,3)-'Quoting term rates'!$C$4)</f>
        <v>4.3299999999999998E-2</v>
      </c>
      <c r="D250">
        <f t="shared" ref="D250" si="88">D249*(1+C249*1/360)</f>
        <v>1.0300270206574711</v>
      </c>
      <c r="E250" s="45">
        <f t="shared" si="74"/>
        <v>4.3941981449957694E-2</v>
      </c>
      <c r="AC250" s="1">
        <f t="shared" si="70"/>
        <v>46000</v>
      </c>
      <c r="AD250">
        <f>IF(VLOOKUP(AC250,'FOMC exp '!$C$6:$C$22,1)=AC250,MATCH(AC250,'FOMC exp '!$C$6:$C$22,1),AD249)</f>
        <v>6</v>
      </c>
      <c r="AE250" s="18" cm="1">
        <f t="array" ref="AE250">INDEX('FOMC exp '!$C$6:$D$23,AD250,2)</f>
        <v>4.4999999999999998E-2</v>
      </c>
    </row>
    <row r="251" spans="1:31">
      <c r="A251" t="str">
        <f t="shared" si="69"/>
        <v>Wednesday</v>
      </c>
      <c r="B251" s="1">
        <f t="shared" si="71"/>
        <v>46001</v>
      </c>
      <c r="C251" s="45">
        <f>IF(LEFT(A251,1)="S","",VLOOKUP(B251,$AC$4:$AE$734,3)-'Quoting term rates'!$C$4)</f>
        <v>4.3299999999999998E-2</v>
      </c>
      <c r="D251">
        <f t="shared" si="73"/>
        <v>1.0301509100185668</v>
      </c>
      <c r="E251" s="45">
        <f t="shared" si="74"/>
        <v>4.394464618090714E-2</v>
      </c>
      <c r="AC251" s="1">
        <f t="shared" si="70"/>
        <v>46001</v>
      </c>
      <c r="AD251">
        <f>IF(VLOOKUP(AC251,'FOMC exp '!$C$6:$C$22,1)=AC251,MATCH(AC251,'FOMC exp '!$C$6:$C$22,1),AD250)</f>
        <v>7</v>
      </c>
      <c r="AE251" s="18" cm="1">
        <f t="array" ref="AE251">INDEX('FOMC exp '!$C$6:$D$23,AD251,2)</f>
        <v>4.4999999999999998E-2</v>
      </c>
    </row>
    <row r="252" spans="1:31">
      <c r="A252" t="str">
        <f t="shared" si="69"/>
        <v>Thursday</v>
      </c>
      <c r="B252" s="1">
        <f t="shared" si="71"/>
        <v>46002</v>
      </c>
      <c r="C252" s="45">
        <f>IF(LEFT(A252,1)="S","",VLOOKUP(B252,$AC$4:$AE$734,3)-'Quoting term rates'!$C$4)</f>
        <v>4.3299999999999998E-2</v>
      </c>
      <c r="D252">
        <f t="shared" si="73"/>
        <v>1.0302748142807996</v>
      </c>
      <c r="E252" s="45">
        <f t="shared" si="74"/>
        <v>4.3947311052773594E-2</v>
      </c>
      <c r="AC252" s="1">
        <f t="shared" si="70"/>
        <v>46002</v>
      </c>
      <c r="AD252">
        <f>IF(VLOOKUP(AC252,'FOMC exp '!$C$6:$C$22,1)=AC252,MATCH(AC252,'FOMC exp '!$C$6:$C$22,1),AD251)</f>
        <v>7</v>
      </c>
      <c r="AE252" s="18" cm="1">
        <f t="array" ref="AE252">INDEX('FOMC exp '!$C$6:$D$23,AD252,2)</f>
        <v>4.4999999999999998E-2</v>
      </c>
    </row>
    <row r="253" spans="1:31">
      <c r="A253" t="str">
        <f t="shared" si="69"/>
        <v>Friday</v>
      </c>
      <c r="B253" s="1">
        <f t="shared" si="71"/>
        <v>46003</v>
      </c>
      <c r="C253" s="45">
        <f>IF(LEFT(A253,1)="S","",VLOOKUP(B253,$AC$4:$AE$734,3)-'Quoting term rates'!$C$4)</f>
        <v>4.3299999999999998E-2</v>
      </c>
      <c r="D253">
        <f t="shared" si="73"/>
        <v>1.0303987334459617</v>
      </c>
      <c r="E253" s="45">
        <f t="shared" si="74"/>
        <v>4.3949976066450604E-2</v>
      </c>
      <c r="AC253" s="1">
        <f t="shared" si="70"/>
        <v>46003</v>
      </c>
      <c r="AD253">
        <f>IF(VLOOKUP(AC253,'FOMC exp '!$C$6:$C$22,1)=AC253,MATCH(AC253,'FOMC exp '!$C$6:$C$22,1),AD252)</f>
        <v>7</v>
      </c>
      <c r="AE253" s="18" cm="1">
        <f t="array" ref="AE253">INDEX('FOMC exp '!$C$6:$D$23,AD253,2)</f>
        <v>4.4999999999999998E-2</v>
      </c>
    </row>
    <row r="254" spans="1:31">
      <c r="A254" t="str">
        <f t="shared" si="69"/>
        <v>Saturday</v>
      </c>
      <c r="B254" s="1">
        <f t="shared" si="71"/>
        <v>46004</v>
      </c>
      <c r="C254" s="45" t="str">
        <f>IF(LEFT(A254,1)="S","",VLOOKUP(B254,$AC$4:$AE$734,3)-'Quoting term rates'!$C$4)</f>
        <v/>
      </c>
      <c r="E254" s="45" t="str">
        <f t="shared" si="74"/>
        <v/>
      </c>
      <c r="AC254" s="1">
        <f t="shared" si="70"/>
        <v>46004</v>
      </c>
      <c r="AD254">
        <f>IF(VLOOKUP(AC254,'FOMC exp '!$C$6:$C$22,1)=AC254,MATCH(AC254,'FOMC exp '!$C$6:$C$22,1),AD253)</f>
        <v>7</v>
      </c>
      <c r="AE254" s="18" cm="1">
        <f t="array" ref="AE254">INDEX('FOMC exp '!$C$6:$D$23,AD254,2)</f>
        <v>4.4999999999999998E-2</v>
      </c>
    </row>
    <row r="255" spans="1:31">
      <c r="A255" t="str">
        <f t="shared" si="69"/>
        <v>Sunday</v>
      </c>
      <c r="B255" s="1">
        <f t="shared" si="71"/>
        <v>46005</v>
      </c>
      <c r="C255" s="45" t="str">
        <f>IF(LEFT(A255,1)="S","",VLOOKUP(B255,$AC$4:$AE$734,3)-'Quoting term rates'!$C$4)</f>
        <v/>
      </c>
      <c r="E255" s="45" t="str">
        <f t="shared" si="74"/>
        <v/>
      </c>
      <c r="AC255" s="1">
        <f t="shared" si="70"/>
        <v>46005</v>
      </c>
      <c r="AD255">
        <f>IF(VLOOKUP(AC255,'FOMC exp '!$C$6:$C$22,1)=AC255,MATCH(AC255,'FOMC exp '!$C$6:$C$22,1),AD254)</f>
        <v>7</v>
      </c>
      <c r="AE255" s="18" cm="1">
        <f t="array" ref="AE255">INDEX('FOMC exp '!$C$6:$D$23,AD255,2)</f>
        <v>4.4999999999999998E-2</v>
      </c>
    </row>
    <row r="256" spans="1:31">
      <c r="A256" t="str">
        <f t="shared" si="69"/>
        <v>Monday</v>
      </c>
      <c r="B256" s="1">
        <f t="shared" si="71"/>
        <v>46006</v>
      </c>
      <c r="C256" s="45">
        <f>IF(LEFT(A256,1)="S","",VLOOKUP(B256,$AC$4:$AE$734,3)-'Quoting term rates'!$C$4)</f>
        <v>4.3299999999999998E-2</v>
      </c>
      <c r="D256">
        <f t="shared" ref="D256" si="89">D253*(1+C253*3/360)</f>
        <v>1.0307705356556134</v>
      </c>
      <c r="E256" s="45">
        <f t="shared" si="74"/>
        <v>4.3957908079447695E-2</v>
      </c>
      <c r="AC256" s="1">
        <f t="shared" si="70"/>
        <v>46006</v>
      </c>
      <c r="AD256">
        <f>IF(VLOOKUP(AC256,'FOMC exp '!$C$6:$C$22,1)=AC256,MATCH(AC256,'FOMC exp '!$C$6:$C$22,1),AD255)</f>
        <v>7</v>
      </c>
      <c r="AE256" s="18" cm="1">
        <f t="array" ref="AE256">INDEX('FOMC exp '!$C$6:$D$23,AD256,2)</f>
        <v>4.4999999999999998E-2</v>
      </c>
    </row>
    <row r="257" spans="1:31">
      <c r="A257" t="str">
        <f t="shared" si="69"/>
        <v>Tuesday</v>
      </c>
      <c r="B257" s="1">
        <f t="shared" si="71"/>
        <v>46007</v>
      </c>
      <c r="C257" s="45">
        <f>IF(LEFT(A257,1)="S","",VLOOKUP(B257,$AC$4:$AE$734,3)-'Quoting term rates'!$C$4)</f>
        <v>4.3299999999999998E-2</v>
      </c>
      <c r="D257">
        <f t="shared" ref="D257" si="90">D256*(1+C256*1/360)</f>
        <v>1.0308945144450408</v>
      </c>
      <c r="E257" s="45">
        <f t="shared" si="74"/>
        <v>4.3960573913892E-2</v>
      </c>
      <c r="AC257" s="1">
        <f t="shared" si="70"/>
        <v>46007</v>
      </c>
      <c r="AD257">
        <f>IF(VLOOKUP(AC257,'FOMC exp '!$C$6:$C$22,1)=AC257,MATCH(AC257,'FOMC exp '!$C$6:$C$22,1),AD256)</f>
        <v>7</v>
      </c>
      <c r="AE257" s="18" cm="1">
        <f t="array" ref="AE257">INDEX('FOMC exp '!$C$6:$D$23,AD257,2)</f>
        <v>4.4999999999999998E-2</v>
      </c>
    </row>
    <row r="258" spans="1:31">
      <c r="A258" t="str">
        <f t="shared" si="69"/>
        <v>Wednesday</v>
      </c>
      <c r="B258" s="1">
        <f t="shared" si="71"/>
        <v>46008</v>
      </c>
      <c r="C258" s="45">
        <f>IF(LEFT(A258,1)="S","",VLOOKUP(B258,$AC$4:$AE$734,3)-'Quoting term rates'!$C$4)</f>
        <v>4.3299999999999998E-2</v>
      </c>
      <c r="D258">
        <f t="shared" si="73"/>
        <v>1.0310185081463614</v>
      </c>
      <c r="E258" s="45">
        <f t="shared" si="74"/>
        <v>4.3963239892480757E-2</v>
      </c>
      <c r="AC258" s="1">
        <f t="shared" si="70"/>
        <v>46008</v>
      </c>
      <c r="AD258">
        <f>IF(VLOOKUP(AC258,'FOMC exp '!$C$6:$C$22,1)=AC258,MATCH(AC258,'FOMC exp '!$C$6:$C$22,1),AD257)</f>
        <v>7</v>
      </c>
      <c r="AE258" s="18" cm="1">
        <f t="array" ref="AE258">INDEX('FOMC exp '!$C$6:$D$23,AD258,2)</f>
        <v>4.4999999999999998E-2</v>
      </c>
    </row>
    <row r="259" spans="1:31">
      <c r="A259" t="str">
        <f t="shared" si="69"/>
        <v>Thursday</v>
      </c>
      <c r="B259" s="1">
        <f t="shared" si="71"/>
        <v>46009</v>
      </c>
      <c r="C259" s="45">
        <f>IF(LEFT(A259,1)="S","",VLOOKUP(B259,$AC$4:$AE$734,3)-'Quoting term rates'!$C$4)</f>
        <v>4.3299999999999998E-2</v>
      </c>
      <c r="D259">
        <f t="shared" si="73"/>
        <v>1.031142516761369</v>
      </c>
      <c r="E259" s="45">
        <f t="shared" si="74"/>
        <v>4.3965906016050396E-2</v>
      </c>
      <c r="AC259" s="1">
        <f t="shared" si="70"/>
        <v>46009</v>
      </c>
      <c r="AD259">
        <f>IF(VLOOKUP(AC259,'FOMC exp '!$C$6:$C$22,1)=AC259,MATCH(AC259,'FOMC exp '!$C$6:$C$22,1),AD258)</f>
        <v>7</v>
      </c>
      <c r="AE259" s="18" cm="1">
        <f t="array" ref="AE259">INDEX('FOMC exp '!$C$6:$D$23,AD259,2)</f>
        <v>4.4999999999999998E-2</v>
      </c>
    </row>
    <row r="260" spans="1:31">
      <c r="A260" t="str">
        <f t="shared" si="69"/>
        <v>Friday</v>
      </c>
      <c r="B260" s="1">
        <f t="shared" si="71"/>
        <v>46010</v>
      </c>
      <c r="C260" s="45">
        <f>IF(LEFT(A260,1)="S","",VLOOKUP(B260,$AC$4:$AE$734,3)-'Quoting term rates'!$C$4)</f>
        <v>4.3299999999999998E-2</v>
      </c>
      <c r="D260">
        <f t="shared" si="73"/>
        <v>1.0312665402918573</v>
      </c>
      <c r="E260" s="45">
        <f t="shared" si="74"/>
        <v>4.3968572285424286E-2</v>
      </c>
      <c r="AC260" s="1">
        <f t="shared" si="70"/>
        <v>46010</v>
      </c>
      <c r="AD260">
        <f>IF(VLOOKUP(AC260,'FOMC exp '!$C$6:$C$22,1)=AC260,MATCH(AC260,'FOMC exp '!$C$6:$C$22,1),AD259)</f>
        <v>7</v>
      </c>
      <c r="AE260" s="18" cm="1">
        <f t="array" ref="AE260">INDEX('FOMC exp '!$C$6:$D$23,AD260,2)</f>
        <v>4.4999999999999998E-2</v>
      </c>
    </row>
    <row r="261" spans="1:31">
      <c r="A261" t="str">
        <f t="shared" ref="A261:A324" si="91">VLOOKUP(WEEKDAY(B261,2),$Z$2:$AA$8,2)</f>
        <v>Saturday</v>
      </c>
      <c r="B261" s="1">
        <f t="shared" si="71"/>
        <v>46011</v>
      </c>
      <c r="C261" s="45" t="str">
        <f>IF(LEFT(A261,1)="S","",VLOOKUP(B261,$AC$4:$AE$734,3)-'Quoting term rates'!$C$4)</f>
        <v/>
      </c>
      <c r="E261" s="45" t="str">
        <f t="shared" si="74"/>
        <v/>
      </c>
      <c r="AC261" s="1">
        <f t="shared" ref="AC261:AC324" si="92">B261</f>
        <v>46011</v>
      </c>
      <c r="AD261">
        <f>IF(VLOOKUP(AC261,'FOMC exp '!$C$6:$C$22,1)=AC261,MATCH(AC261,'FOMC exp '!$C$6:$C$22,1),AD260)</f>
        <v>7</v>
      </c>
      <c r="AE261" s="18" cm="1">
        <f t="array" ref="AE261">INDEX('FOMC exp '!$C$6:$D$23,AD261,2)</f>
        <v>4.4999999999999998E-2</v>
      </c>
    </row>
    <row r="262" spans="1:31">
      <c r="A262" t="str">
        <f t="shared" si="91"/>
        <v>Sunday</v>
      </c>
      <c r="B262" s="1">
        <f t="shared" ref="B262:B325" si="93">B261+1</f>
        <v>46012</v>
      </c>
      <c r="C262" s="45" t="str">
        <f>IF(LEFT(A262,1)="S","",VLOOKUP(B262,$AC$4:$AE$734,3)-'Quoting term rates'!$C$4)</f>
        <v/>
      </c>
      <c r="E262" s="45" t="str">
        <f t="shared" si="74"/>
        <v/>
      </c>
      <c r="AC262" s="1">
        <f t="shared" si="92"/>
        <v>46012</v>
      </c>
      <c r="AD262">
        <f>IF(VLOOKUP(AC262,'FOMC exp '!$C$6:$C$22,1)=AC262,MATCH(AC262,'FOMC exp '!$C$6:$C$22,1),AD261)</f>
        <v>7</v>
      </c>
      <c r="AE262" s="18" cm="1">
        <f t="array" ref="AE262">INDEX('FOMC exp '!$C$6:$D$23,AD262,2)</f>
        <v>4.4999999999999998E-2</v>
      </c>
    </row>
    <row r="263" spans="1:31">
      <c r="A263" t="str">
        <f t="shared" si="91"/>
        <v>Monday</v>
      </c>
      <c r="B263" s="1">
        <f t="shared" si="93"/>
        <v>46013</v>
      </c>
      <c r="C263" s="45">
        <f>IF(LEFT(A263,1)="S","",VLOOKUP(B263,$AC$4:$AE$734,3)-'Quoting term rates'!$C$4)</f>
        <v>4.3299999999999998E-2</v>
      </c>
      <c r="D263">
        <f t="shared" ref="D263" si="94">D260*(1+C260*3/360)</f>
        <v>1.031638655635146</v>
      </c>
      <c r="E263" s="45">
        <f t="shared" si="74"/>
        <v>4.3976509763137307E-2</v>
      </c>
      <c r="AC263" s="1">
        <f t="shared" si="92"/>
        <v>46013</v>
      </c>
      <c r="AD263">
        <f>IF(VLOOKUP(AC263,'FOMC exp '!$C$6:$C$22,1)=AC263,MATCH(AC263,'FOMC exp '!$C$6:$C$22,1),AD262)</f>
        <v>7</v>
      </c>
      <c r="AE263" s="18" cm="1">
        <f t="array" ref="AE263">INDEX('FOMC exp '!$C$6:$D$23,AD263,2)</f>
        <v>4.4999999999999998E-2</v>
      </c>
    </row>
    <row r="264" spans="1:31">
      <c r="A264" t="str">
        <f t="shared" si="91"/>
        <v>Tuesday</v>
      </c>
      <c r="B264" s="1">
        <f t="shared" si="93"/>
        <v>46014</v>
      </c>
      <c r="C264" s="45">
        <f>IF(LEFT(A264,1)="S","",VLOOKUP(B264,$AC$4:$AE$734,3)-'Quoting term rates'!$C$4)</f>
        <v>4.3299999999999998E-2</v>
      </c>
      <c r="D264">
        <f t="shared" ref="D264:D323" si="95">D263*(1+C263*1/360)</f>
        <v>1.0317627388401154</v>
      </c>
      <c r="E264" s="45">
        <f t="shared" si="74"/>
        <v>4.3979176855544373E-2</v>
      </c>
      <c r="AC264" s="1">
        <f t="shared" si="92"/>
        <v>46014</v>
      </c>
      <c r="AD264">
        <f>IF(VLOOKUP(AC264,'FOMC exp '!$C$6:$C$22,1)=AC264,MATCH(AC264,'FOMC exp '!$C$6:$C$22,1),AD263)</f>
        <v>7</v>
      </c>
      <c r="AE264" s="18" cm="1">
        <f t="array" ref="AE264">INDEX('FOMC exp '!$C$6:$D$23,AD264,2)</f>
        <v>4.4999999999999998E-2</v>
      </c>
    </row>
    <row r="265" spans="1:31">
      <c r="A265" t="str">
        <f t="shared" si="91"/>
        <v>Wednesday</v>
      </c>
      <c r="B265" s="1">
        <f t="shared" si="93"/>
        <v>46015</v>
      </c>
      <c r="C265" s="45">
        <f>IF(LEFT(A265,1)="S","",VLOOKUP(B265,$AC$4:$AE$734,3)-'Quoting term rates'!$C$4)</f>
        <v>4.3299999999999998E-2</v>
      </c>
      <c r="D265">
        <f t="shared" si="95"/>
        <v>1.0318868369695371</v>
      </c>
      <c r="E265" s="45">
        <f t="shared" si="74"/>
        <v>4.3981844095913228E-2</v>
      </c>
      <c r="AC265" s="1">
        <f t="shared" si="92"/>
        <v>46015</v>
      </c>
      <c r="AD265">
        <f>IF(VLOOKUP(AC265,'FOMC exp '!$C$6:$C$22,1)=AC265,MATCH(AC265,'FOMC exp '!$C$6:$C$22,1),AD264)</f>
        <v>7</v>
      </c>
      <c r="AE265" s="18" cm="1">
        <f t="array" ref="AE265">INDEX('FOMC exp '!$C$6:$D$23,AD265,2)</f>
        <v>4.4999999999999998E-2</v>
      </c>
    </row>
    <row r="266" spans="1:31">
      <c r="A266" t="str">
        <f t="shared" si="91"/>
        <v>Thursday</v>
      </c>
      <c r="B266" s="1">
        <f t="shared" si="93"/>
        <v>46016</v>
      </c>
      <c r="C266" s="45">
        <f>IF(LEFT(A266,1)="S","",VLOOKUP(B266,$AC$4:$AE$734,3)-'Quoting term rates'!$C$4)</f>
        <v>4.3299999999999998E-2</v>
      </c>
      <c r="D266">
        <f t="shared" si="95"/>
        <v>1.0320109500252059</v>
      </c>
      <c r="E266" s="45">
        <f t="shared" si="74"/>
        <v>4.3984511485015781E-2</v>
      </c>
      <c r="AC266" s="1">
        <f t="shared" si="92"/>
        <v>46016</v>
      </c>
      <c r="AD266">
        <f>IF(VLOOKUP(AC266,'FOMC exp '!$C$6:$C$22,1)=AC266,MATCH(AC266,'FOMC exp '!$C$6:$C$22,1),AD265)</f>
        <v>7</v>
      </c>
      <c r="AE266" s="18" cm="1">
        <f t="array" ref="AE266">INDEX('FOMC exp '!$C$6:$D$23,AD266,2)</f>
        <v>4.4999999999999998E-2</v>
      </c>
    </row>
    <row r="267" spans="1:31">
      <c r="A267" t="str">
        <f t="shared" si="91"/>
        <v>Friday</v>
      </c>
      <c r="B267" s="1">
        <f t="shared" si="93"/>
        <v>46017</v>
      </c>
      <c r="C267" s="45">
        <f>IF(LEFT(A267,1)="S","",VLOOKUP(B267,$AC$4:$AE$734,3)-'Quoting term rates'!$C$4)</f>
        <v>4.3299999999999998E-2</v>
      </c>
      <c r="D267">
        <f t="shared" si="95"/>
        <v>1.0321350780089174</v>
      </c>
      <c r="E267" s="45">
        <f t="shared" si="74"/>
        <v>4.3987179023613106E-2</v>
      </c>
      <c r="AC267" s="1">
        <f t="shared" si="92"/>
        <v>46017</v>
      </c>
      <c r="AD267">
        <f>IF(VLOOKUP(AC267,'FOMC exp '!$C$6:$C$22,1)=AC267,MATCH(AC267,'FOMC exp '!$C$6:$C$22,1),AD266)</f>
        <v>7</v>
      </c>
      <c r="AE267" s="18" cm="1">
        <f t="array" ref="AE267">INDEX('FOMC exp '!$C$6:$D$23,AD267,2)</f>
        <v>4.4999999999999998E-2</v>
      </c>
    </row>
    <row r="268" spans="1:31">
      <c r="A268" t="str">
        <f t="shared" si="91"/>
        <v>Saturday</v>
      </c>
      <c r="B268" s="1">
        <f t="shared" si="93"/>
        <v>46018</v>
      </c>
      <c r="C268" s="45" t="str">
        <f>IF(LEFT(A268,1)="S","",VLOOKUP(B268,$AC$4:$AE$734,3)-'Quoting term rates'!$C$4)</f>
        <v/>
      </c>
      <c r="E268" s="45" t="str">
        <f t="shared" ref="E268:E331" si="96">IF((D268-1)*360/(B268-$B$4)&lt;0,"",(D268-1)*360/(B268-$B$4))</f>
        <v/>
      </c>
      <c r="AC268" s="1">
        <f t="shared" si="92"/>
        <v>46018</v>
      </c>
      <c r="AD268">
        <f>IF(VLOOKUP(AC268,'FOMC exp '!$C$6:$C$22,1)=AC268,MATCH(AC268,'FOMC exp '!$C$6:$C$22,1),AD267)</f>
        <v>7</v>
      </c>
      <c r="AE268" s="18" cm="1">
        <f t="array" ref="AE268">INDEX('FOMC exp '!$C$6:$D$23,AD268,2)</f>
        <v>4.4999999999999998E-2</v>
      </c>
    </row>
    <row r="269" spans="1:31">
      <c r="A269" t="str">
        <f t="shared" si="91"/>
        <v>Sunday</v>
      </c>
      <c r="B269" s="1">
        <f t="shared" si="93"/>
        <v>46019</v>
      </c>
      <c r="C269" s="45" t="str">
        <f>IF(LEFT(A269,1)="S","",VLOOKUP(B269,$AC$4:$AE$734,3)-'Quoting term rates'!$C$4)</f>
        <v/>
      </c>
      <c r="E269" s="45" t="str">
        <f t="shared" si="96"/>
        <v/>
      </c>
      <c r="AC269" s="1">
        <f t="shared" si="92"/>
        <v>46019</v>
      </c>
      <c r="AD269">
        <f>IF(VLOOKUP(AC269,'FOMC exp '!$C$6:$C$22,1)=AC269,MATCH(AC269,'FOMC exp '!$C$6:$C$22,1),AD268)</f>
        <v>7</v>
      </c>
      <c r="AE269" s="18" cm="1">
        <f t="array" ref="AE269">INDEX('FOMC exp '!$C$6:$D$23,AD269,2)</f>
        <v>4.4999999999999998E-2</v>
      </c>
    </row>
    <row r="270" spans="1:31">
      <c r="A270" t="str">
        <f t="shared" si="91"/>
        <v>Monday</v>
      </c>
      <c r="B270" s="1">
        <f t="shared" si="93"/>
        <v>46020</v>
      </c>
      <c r="C270" s="45">
        <f>IF(LEFT(A270,1)="S","",VLOOKUP(B270,$AC$4:$AE$734,3)-'Quoting term rates'!$C$4)</f>
        <v>4.3299999999999998E-2</v>
      </c>
      <c r="D270">
        <f t="shared" ref="D270" si="97">D267*(1+C267*3/360)</f>
        <v>1.0325075067495657</v>
      </c>
      <c r="E270" s="45">
        <f t="shared" si="96"/>
        <v>4.3995121916705467E-2</v>
      </c>
      <c r="AC270" s="1">
        <f t="shared" si="92"/>
        <v>46020</v>
      </c>
      <c r="AD270">
        <f>IF(VLOOKUP(AC270,'FOMC exp '!$C$6:$C$22,1)=AC270,MATCH(AC270,'FOMC exp '!$C$6:$C$22,1),AD269)</f>
        <v>7</v>
      </c>
      <c r="AE270" s="18" cm="1">
        <f t="array" ref="AE270">INDEX('FOMC exp '!$C$6:$D$23,AD270,2)</f>
        <v>4.4999999999999998E-2</v>
      </c>
    </row>
    <row r="271" spans="1:31">
      <c r="A271" t="str">
        <f t="shared" si="91"/>
        <v>Tuesday</v>
      </c>
      <c r="B271" s="1">
        <f t="shared" si="93"/>
        <v>46021</v>
      </c>
      <c r="C271" s="45">
        <f>IF(LEFT(A271,1)="S","",VLOOKUP(B271,$AC$4:$AE$734,3)-'Quoting term rates'!$C$4)</f>
        <v>4.3299999999999998E-2</v>
      </c>
      <c r="D271">
        <f t="shared" ref="D271" si="98">D270*(1+C270*1/360)</f>
        <v>1.0326316944580165</v>
      </c>
      <c r="E271" s="45">
        <f t="shared" si="96"/>
        <v>4.3997790280471689E-2</v>
      </c>
      <c r="AC271" s="1">
        <f t="shared" si="92"/>
        <v>46021</v>
      </c>
      <c r="AD271">
        <f>IF(VLOOKUP(AC271,'FOMC exp '!$C$6:$C$22,1)=AC271,MATCH(AC271,'FOMC exp '!$C$6:$C$22,1),AD270)</f>
        <v>7</v>
      </c>
      <c r="AE271" s="18" cm="1">
        <f t="array" ref="AE271">INDEX('FOMC exp '!$C$6:$D$23,AD271,2)</f>
        <v>4.4999999999999998E-2</v>
      </c>
    </row>
    <row r="272" spans="1:31">
      <c r="A272" t="str">
        <f t="shared" si="91"/>
        <v>Wednesday</v>
      </c>
      <c r="B272" s="1">
        <f t="shared" si="93"/>
        <v>46022</v>
      </c>
      <c r="C272" s="45">
        <f>IF(LEFT(A272,1)="S","",VLOOKUP(B272,$AC$4:$AE$734,3)-'Quoting term rates'!$C$4)</f>
        <v>4.3299999999999998E-2</v>
      </c>
      <c r="D272">
        <f t="shared" si="95"/>
        <v>1.0327558971034889</v>
      </c>
      <c r="E272" s="45">
        <f t="shared" si="96"/>
        <v>4.4000458795731383E-2</v>
      </c>
      <c r="AC272" s="1">
        <f t="shared" si="92"/>
        <v>46022</v>
      </c>
      <c r="AD272">
        <f>IF(VLOOKUP(AC272,'FOMC exp '!$C$6:$C$22,1)=AC272,MATCH(AC272,'FOMC exp '!$C$6:$C$22,1),AD271)</f>
        <v>7</v>
      </c>
      <c r="AE272" s="18" cm="1">
        <f t="array" ref="AE272">INDEX('FOMC exp '!$C$6:$D$23,AD272,2)</f>
        <v>4.4999999999999998E-2</v>
      </c>
    </row>
    <row r="273" spans="1:31">
      <c r="A273" t="str">
        <f t="shared" si="91"/>
        <v>Thursday</v>
      </c>
      <c r="B273" s="1">
        <f t="shared" si="93"/>
        <v>46023</v>
      </c>
      <c r="C273" s="45">
        <f>IF(LEFT(A273,1)="S","",VLOOKUP(B273,$AC$4:$AE$734,3)-'Quoting term rates'!$C$4)</f>
        <v>4.3299999999999998E-2</v>
      </c>
      <c r="D273">
        <f t="shared" si="95"/>
        <v>1.0328801146877795</v>
      </c>
      <c r="E273" s="45">
        <f t="shared" si="96"/>
        <v>4.400312746319935E-2</v>
      </c>
      <c r="AC273" s="1">
        <f t="shared" si="92"/>
        <v>46023</v>
      </c>
      <c r="AD273">
        <f>IF(VLOOKUP(AC273,'FOMC exp '!$C$6:$C$22,1)=AC273,MATCH(AC273,'FOMC exp '!$C$6:$C$22,1),AD272)</f>
        <v>7</v>
      </c>
      <c r="AE273" s="18" cm="1">
        <f t="array" ref="AE273">INDEX('FOMC exp '!$C$6:$D$23,AD273,2)</f>
        <v>4.4999999999999998E-2</v>
      </c>
    </row>
    <row r="274" spans="1:31">
      <c r="A274" t="str">
        <f t="shared" si="91"/>
        <v>Friday</v>
      </c>
      <c r="B274" s="1">
        <f t="shared" si="93"/>
        <v>46024</v>
      </c>
      <c r="C274" s="45">
        <f>IF(LEFT(A274,1)="S","",VLOOKUP(B274,$AC$4:$AE$734,3)-'Quoting term rates'!$C$4)</f>
        <v>4.3299999999999998E-2</v>
      </c>
      <c r="D274">
        <f t="shared" si="95"/>
        <v>1.0330043472126851</v>
      </c>
      <c r="E274" s="45">
        <f t="shared" si="96"/>
        <v>4.4005796283580111E-2</v>
      </c>
      <c r="AC274" s="1">
        <f t="shared" si="92"/>
        <v>46024</v>
      </c>
      <c r="AD274">
        <f>IF(VLOOKUP(AC274,'FOMC exp '!$C$6:$C$22,1)=AC274,MATCH(AC274,'FOMC exp '!$C$6:$C$22,1),AD273)</f>
        <v>7</v>
      </c>
      <c r="AE274" s="18" cm="1">
        <f t="array" ref="AE274">INDEX('FOMC exp '!$C$6:$D$23,AD274,2)</f>
        <v>4.4999999999999998E-2</v>
      </c>
    </row>
    <row r="275" spans="1:31">
      <c r="A275" t="str">
        <f t="shared" si="91"/>
        <v>Saturday</v>
      </c>
      <c r="B275" s="1">
        <f t="shared" si="93"/>
        <v>46025</v>
      </c>
      <c r="C275" s="45" t="str">
        <f>IF(LEFT(A275,1)="S","",VLOOKUP(B275,$AC$4:$AE$734,3)-'Quoting term rates'!$C$4)</f>
        <v/>
      </c>
      <c r="E275" s="45" t="str">
        <f t="shared" si="96"/>
        <v/>
      </c>
      <c r="AC275" s="1">
        <f t="shared" si="92"/>
        <v>46025</v>
      </c>
      <c r="AD275">
        <f>IF(VLOOKUP(AC275,'FOMC exp '!$C$6:$C$22,1)=AC275,MATCH(AC275,'FOMC exp '!$C$6:$C$22,1),AD274)</f>
        <v>7</v>
      </c>
      <c r="AE275" s="18" cm="1">
        <f t="array" ref="AE275">INDEX('FOMC exp '!$C$6:$D$23,AD275,2)</f>
        <v>4.4999999999999998E-2</v>
      </c>
    </row>
    <row r="276" spans="1:31">
      <c r="A276" t="str">
        <f t="shared" si="91"/>
        <v>Sunday</v>
      </c>
      <c r="B276" s="1">
        <f t="shared" si="93"/>
        <v>46026</v>
      </c>
      <c r="C276" s="45" t="str">
        <f>IF(LEFT(A276,1)="S","",VLOOKUP(B276,$AC$4:$AE$734,3)-'Quoting term rates'!$C$4)</f>
        <v/>
      </c>
      <c r="E276" s="45" t="str">
        <f t="shared" si="96"/>
        <v/>
      </c>
      <c r="AC276" s="1">
        <f t="shared" si="92"/>
        <v>46026</v>
      </c>
      <c r="AD276">
        <f>IF(VLOOKUP(AC276,'FOMC exp '!$C$6:$C$22,1)=AC276,MATCH(AC276,'FOMC exp '!$C$6:$C$22,1),AD275)</f>
        <v>7</v>
      </c>
      <c r="AE276" s="18" cm="1">
        <f t="array" ref="AE276">INDEX('FOMC exp '!$C$6:$D$23,AD276,2)</f>
        <v>4.4999999999999998E-2</v>
      </c>
    </row>
    <row r="277" spans="1:31">
      <c r="A277" t="str">
        <f t="shared" si="91"/>
        <v>Monday</v>
      </c>
      <c r="B277" s="1">
        <f t="shared" si="93"/>
        <v>46027</v>
      </c>
      <c r="C277" s="45">
        <f>IF(LEFT(A277,1)="S","",VLOOKUP(B277,$AC$4:$AE$734,3)-'Quoting term rates'!$C$4)</f>
        <v>4.3299999999999998E-2</v>
      </c>
      <c r="D277">
        <f t="shared" ref="D277" si="99">D274*(1+C274*3/360)</f>
        <v>1.0333770896146377</v>
      </c>
      <c r="E277" s="45">
        <f t="shared" si="96"/>
        <v>4.4013744546774987E-2</v>
      </c>
      <c r="AC277" s="1">
        <f t="shared" si="92"/>
        <v>46027</v>
      </c>
      <c r="AD277">
        <f>IF(VLOOKUP(AC277,'FOMC exp '!$C$6:$C$22,1)=AC277,MATCH(AC277,'FOMC exp '!$C$6:$C$22,1),AD276)</f>
        <v>7</v>
      </c>
      <c r="AE277" s="18" cm="1">
        <f t="array" ref="AE277">INDEX('FOMC exp '!$C$6:$D$23,AD277,2)</f>
        <v>4.4999999999999998E-2</v>
      </c>
    </row>
    <row r="278" spans="1:31">
      <c r="A278" t="str">
        <f t="shared" si="91"/>
        <v>Tuesday</v>
      </c>
      <c r="B278" s="1">
        <f t="shared" si="93"/>
        <v>46028</v>
      </c>
      <c r="C278" s="45">
        <f>IF(LEFT(A278,1)="S","",VLOOKUP(B278,$AC$4:$AE$734,3)-'Quoting term rates'!$C$4)</f>
        <v>4.3299999999999998E-2</v>
      </c>
      <c r="D278">
        <f t="shared" ref="D278" si="100">D277*(1+C277*1/360)</f>
        <v>1.0335013819145831</v>
      </c>
      <c r="E278" s="45">
        <f t="shared" si="96"/>
        <v>4.4016414194342726E-2</v>
      </c>
      <c r="AC278" s="1">
        <f t="shared" si="92"/>
        <v>46028</v>
      </c>
      <c r="AD278">
        <f>IF(VLOOKUP(AC278,'FOMC exp '!$C$6:$C$22,1)=AC278,MATCH(AC278,'FOMC exp '!$C$6:$C$22,1),AD277)</f>
        <v>7</v>
      </c>
      <c r="AE278" s="18" cm="1">
        <f t="array" ref="AE278">INDEX('FOMC exp '!$C$6:$D$23,AD278,2)</f>
        <v>4.4999999999999998E-2</v>
      </c>
    </row>
    <row r="279" spans="1:31">
      <c r="A279" t="str">
        <f t="shared" si="91"/>
        <v>Wednesday</v>
      </c>
      <c r="B279" s="1">
        <f t="shared" si="93"/>
        <v>46029</v>
      </c>
      <c r="C279" s="45">
        <f>IF(LEFT(A279,1)="S","",VLOOKUP(B279,$AC$4:$AE$734,3)-'Quoting term rates'!$C$4)</f>
        <v>4.3299999999999998E-2</v>
      </c>
      <c r="D279">
        <f t="shared" si="95"/>
        <v>1.03362568916413</v>
      </c>
      <c r="E279" s="45">
        <f t="shared" si="96"/>
        <v>4.4019083996679274E-2</v>
      </c>
      <c r="AC279" s="1">
        <f t="shared" si="92"/>
        <v>46029</v>
      </c>
      <c r="AD279">
        <f>IF(VLOOKUP(AC279,'FOMC exp '!$C$6:$C$22,1)=AC279,MATCH(AC279,'FOMC exp '!$C$6:$C$22,1),AD278)</f>
        <v>7</v>
      </c>
      <c r="AE279" s="18" cm="1">
        <f t="array" ref="AE279">INDEX('FOMC exp '!$C$6:$D$23,AD279,2)</f>
        <v>4.4999999999999998E-2</v>
      </c>
    </row>
    <row r="280" spans="1:31">
      <c r="A280" t="str">
        <f t="shared" si="91"/>
        <v>Thursday</v>
      </c>
      <c r="B280" s="1">
        <f t="shared" si="93"/>
        <v>46030</v>
      </c>
      <c r="C280" s="45">
        <f>IF(LEFT(A280,1)="S","",VLOOKUP(B280,$AC$4:$AE$734,3)-'Quoting term rates'!$C$4)</f>
        <v>4.3299999999999998E-2</v>
      </c>
      <c r="D280">
        <f t="shared" si="95"/>
        <v>1.0337500113650766</v>
      </c>
      <c r="E280" s="45">
        <f t="shared" si="96"/>
        <v>4.4021753954447747E-2</v>
      </c>
      <c r="AC280" s="1">
        <f t="shared" si="92"/>
        <v>46030</v>
      </c>
      <c r="AD280">
        <f>IF(VLOOKUP(AC280,'FOMC exp '!$C$6:$C$22,1)=AC280,MATCH(AC280,'FOMC exp '!$C$6:$C$22,1),AD279)</f>
        <v>7</v>
      </c>
      <c r="AE280" s="18" cm="1">
        <f t="array" ref="AE280">INDEX('FOMC exp '!$C$6:$D$23,AD280,2)</f>
        <v>4.4999999999999998E-2</v>
      </c>
    </row>
    <row r="281" spans="1:31">
      <c r="A281" t="str">
        <f t="shared" si="91"/>
        <v>Friday</v>
      </c>
      <c r="B281" s="1">
        <f t="shared" si="93"/>
        <v>46031</v>
      </c>
      <c r="C281" s="45">
        <f>IF(LEFT(A281,1)="S","",VLOOKUP(B281,$AC$4:$AE$734,3)-'Quoting term rates'!$C$4)</f>
        <v>4.3299999999999998E-2</v>
      </c>
      <c r="D281">
        <f t="shared" si="95"/>
        <v>1.0338743485192214</v>
      </c>
      <c r="E281" s="45">
        <f t="shared" si="96"/>
        <v>4.4024424068302238E-2</v>
      </c>
      <c r="AC281" s="1">
        <f t="shared" si="92"/>
        <v>46031</v>
      </c>
      <c r="AD281">
        <f>IF(VLOOKUP(AC281,'FOMC exp '!$C$6:$C$22,1)=AC281,MATCH(AC281,'FOMC exp '!$C$6:$C$22,1),AD280)</f>
        <v>7</v>
      </c>
      <c r="AE281" s="18" cm="1">
        <f t="array" ref="AE281">INDEX('FOMC exp '!$C$6:$D$23,AD281,2)</f>
        <v>4.4999999999999998E-2</v>
      </c>
    </row>
    <row r="282" spans="1:31">
      <c r="A282" t="str">
        <f t="shared" si="91"/>
        <v>Saturday</v>
      </c>
      <c r="B282" s="1">
        <f t="shared" si="93"/>
        <v>46032</v>
      </c>
      <c r="C282" s="45" t="str">
        <f>IF(LEFT(A282,1)="S","",VLOOKUP(B282,$AC$4:$AE$734,3)-'Quoting term rates'!$C$4)</f>
        <v/>
      </c>
      <c r="E282" s="45" t="str">
        <f t="shared" si="96"/>
        <v/>
      </c>
      <c r="AC282" s="1">
        <f t="shared" si="92"/>
        <v>46032</v>
      </c>
      <c r="AD282">
        <f>IF(VLOOKUP(AC282,'FOMC exp '!$C$6:$C$22,1)=AC282,MATCH(AC282,'FOMC exp '!$C$6:$C$22,1),AD281)</f>
        <v>7</v>
      </c>
      <c r="AE282" s="18" cm="1">
        <f t="array" ref="AE282">INDEX('FOMC exp '!$C$6:$D$23,AD282,2)</f>
        <v>4.4999999999999998E-2</v>
      </c>
    </row>
    <row r="283" spans="1:31">
      <c r="A283" t="str">
        <f t="shared" si="91"/>
        <v>Sunday</v>
      </c>
      <c r="B283" s="1">
        <f t="shared" si="93"/>
        <v>46033</v>
      </c>
      <c r="C283" s="45" t="str">
        <f>IF(LEFT(A283,1)="S","",VLOOKUP(B283,$AC$4:$AE$734,3)-'Quoting term rates'!$C$4)</f>
        <v/>
      </c>
      <c r="E283" s="45" t="str">
        <f t="shared" si="96"/>
        <v/>
      </c>
      <c r="AC283" s="1">
        <f t="shared" si="92"/>
        <v>46033</v>
      </c>
      <c r="AD283">
        <f>IF(VLOOKUP(AC283,'FOMC exp '!$C$6:$C$22,1)=AC283,MATCH(AC283,'FOMC exp '!$C$6:$C$22,1),AD282)</f>
        <v>7</v>
      </c>
      <c r="AE283" s="18" cm="1">
        <f t="array" ref="AE283">INDEX('FOMC exp '!$C$6:$D$23,AD283,2)</f>
        <v>4.4999999999999998E-2</v>
      </c>
    </row>
    <row r="284" spans="1:31">
      <c r="A284" t="str">
        <f t="shared" si="91"/>
        <v>Monday</v>
      </c>
      <c r="B284" s="1">
        <f t="shared" si="93"/>
        <v>46034</v>
      </c>
      <c r="C284" s="45">
        <f>IF(LEFT(A284,1)="S","",VLOOKUP(B284,$AC$4:$AE$734,3)-'Quoting term rates'!$C$4)</f>
        <v>4.3299999999999998E-2</v>
      </c>
      <c r="D284">
        <f t="shared" ref="D284" si="101">D281*(1+C281*3/360)</f>
        <v>1.0342474048466455</v>
      </c>
      <c r="E284" s="45">
        <f t="shared" si="96"/>
        <v>4.4032377659972734E-2</v>
      </c>
      <c r="AC284" s="1">
        <f t="shared" si="92"/>
        <v>46034</v>
      </c>
      <c r="AD284">
        <f>IF(VLOOKUP(AC284,'FOMC exp '!$C$6:$C$22,1)=AC284,MATCH(AC284,'FOMC exp '!$C$6:$C$22,1),AD283)</f>
        <v>7</v>
      </c>
      <c r="AE284" s="18" cm="1">
        <f t="array" ref="AE284">INDEX('FOMC exp '!$C$6:$D$23,AD284,2)</f>
        <v>4.4999999999999998E-2</v>
      </c>
    </row>
    <row r="285" spans="1:31">
      <c r="A285" t="str">
        <f t="shared" si="91"/>
        <v>Tuesday</v>
      </c>
      <c r="B285" s="1">
        <f t="shared" si="93"/>
        <v>46035</v>
      </c>
      <c r="C285" s="45">
        <f>IF(LEFT(A285,1)="S","",VLOOKUP(B285,$AC$4:$AE$734,3)-'Quoting term rates'!$C$4)</f>
        <v>4.3299999999999998E-2</v>
      </c>
      <c r="D285">
        <f t="shared" ref="D285" si="102">D284*(1+C284*1/360)</f>
        <v>1.0343718018261729</v>
      </c>
      <c r="E285" s="45">
        <f t="shared" si="96"/>
        <v>4.4035048602926188E-2</v>
      </c>
      <c r="AC285" s="1">
        <f t="shared" si="92"/>
        <v>46035</v>
      </c>
      <c r="AD285">
        <f>IF(VLOOKUP(AC285,'FOMC exp '!$C$6:$C$22,1)=AC285,MATCH(AC285,'FOMC exp '!$C$6:$C$22,1),AD284)</f>
        <v>7</v>
      </c>
      <c r="AE285" s="18" cm="1">
        <f t="array" ref="AE285">INDEX('FOMC exp '!$C$6:$D$23,AD285,2)</f>
        <v>4.4999999999999998E-2</v>
      </c>
    </row>
    <row r="286" spans="1:31">
      <c r="A286" t="str">
        <f t="shared" si="91"/>
        <v>Wednesday</v>
      </c>
      <c r="B286" s="1">
        <f t="shared" si="93"/>
        <v>46036</v>
      </c>
      <c r="C286" s="45">
        <f>IF(LEFT(A286,1)="S","",VLOOKUP(B286,$AC$4:$AE$734,3)-'Quoting term rates'!$C$4)</f>
        <v>4.3299999999999998E-2</v>
      </c>
      <c r="D286">
        <f t="shared" si="95"/>
        <v>1.0344962137678926</v>
      </c>
      <c r="E286" s="45">
        <f t="shared" si="96"/>
        <v>4.4037719703692656E-2</v>
      </c>
      <c r="AC286" s="1">
        <f t="shared" si="92"/>
        <v>46036</v>
      </c>
      <c r="AD286">
        <f>IF(VLOOKUP(AC286,'FOMC exp '!$C$6:$C$22,1)=AC286,MATCH(AC286,'FOMC exp '!$C$6:$C$22,1),AD285)</f>
        <v>7</v>
      </c>
      <c r="AE286" s="18" cm="1">
        <f t="array" ref="AE286">INDEX('FOMC exp '!$C$6:$D$23,AD286,2)</f>
        <v>4.4999999999999998E-2</v>
      </c>
    </row>
    <row r="287" spans="1:31">
      <c r="A287" t="str">
        <f t="shared" si="91"/>
        <v>Thursday</v>
      </c>
      <c r="B287" s="1">
        <f t="shared" si="93"/>
        <v>46037</v>
      </c>
      <c r="C287" s="45">
        <f>IF(LEFT(A287,1)="S","",VLOOKUP(B287,$AC$4:$AE$734,3)-'Quoting term rates'!$C$4)</f>
        <v>4.3299999999999998E-2</v>
      </c>
      <c r="D287">
        <f t="shared" si="95"/>
        <v>1.034620640673604</v>
      </c>
      <c r="E287" s="45">
        <f t="shared" si="96"/>
        <v>4.4040390962888532E-2</v>
      </c>
      <c r="AC287" s="1">
        <f t="shared" si="92"/>
        <v>46037</v>
      </c>
      <c r="AD287">
        <f>IF(VLOOKUP(AC287,'FOMC exp '!$C$6:$C$22,1)=AC287,MATCH(AC287,'FOMC exp '!$C$6:$C$22,1),AD286)</f>
        <v>7</v>
      </c>
      <c r="AE287" s="18" cm="1">
        <f t="array" ref="AE287">INDEX('FOMC exp '!$C$6:$D$23,AD287,2)</f>
        <v>4.4999999999999998E-2</v>
      </c>
    </row>
    <row r="288" spans="1:31">
      <c r="A288" t="str">
        <f t="shared" si="91"/>
        <v>Friday</v>
      </c>
      <c r="B288" s="1">
        <f t="shared" si="93"/>
        <v>46038</v>
      </c>
      <c r="C288" s="45">
        <f>IF(LEFT(A288,1)="S","",VLOOKUP(B288,$AC$4:$AE$734,3)-'Quoting term rates'!$C$4)</f>
        <v>4.3299999999999998E-2</v>
      </c>
      <c r="D288">
        <f t="shared" si="95"/>
        <v>1.0347450825451072</v>
      </c>
      <c r="E288" s="45">
        <f t="shared" si="96"/>
        <v>4.4043062381121829E-2</v>
      </c>
      <c r="AC288" s="1">
        <f t="shared" si="92"/>
        <v>46038</v>
      </c>
      <c r="AD288">
        <f>IF(VLOOKUP(AC288,'FOMC exp '!$C$6:$C$22,1)=AC288,MATCH(AC288,'FOMC exp '!$C$6:$C$22,1),AD287)</f>
        <v>7</v>
      </c>
      <c r="AE288" s="18" cm="1">
        <f t="array" ref="AE288">INDEX('FOMC exp '!$C$6:$D$23,AD288,2)</f>
        <v>4.4999999999999998E-2</v>
      </c>
    </row>
    <row r="289" spans="1:31">
      <c r="A289" t="str">
        <f t="shared" si="91"/>
        <v>Saturday</v>
      </c>
      <c r="B289" s="1">
        <f t="shared" si="93"/>
        <v>46039</v>
      </c>
      <c r="C289" s="45" t="str">
        <f>IF(LEFT(A289,1)="S","",VLOOKUP(B289,$AC$4:$AE$734,3)-'Quoting term rates'!$C$4)</f>
        <v/>
      </c>
      <c r="E289" s="45" t="str">
        <f t="shared" si="96"/>
        <v/>
      </c>
      <c r="AC289" s="1">
        <f t="shared" si="92"/>
        <v>46039</v>
      </c>
      <c r="AD289">
        <f>IF(VLOOKUP(AC289,'FOMC exp '!$C$6:$C$22,1)=AC289,MATCH(AC289,'FOMC exp '!$C$6:$C$22,1),AD288)</f>
        <v>7</v>
      </c>
      <c r="AE289" s="18" cm="1">
        <f t="array" ref="AE289">INDEX('FOMC exp '!$C$6:$D$23,AD289,2)</f>
        <v>4.4999999999999998E-2</v>
      </c>
    </row>
    <row r="290" spans="1:31">
      <c r="A290" t="str">
        <f t="shared" si="91"/>
        <v>Sunday</v>
      </c>
      <c r="B290" s="1">
        <f t="shared" si="93"/>
        <v>46040</v>
      </c>
      <c r="C290" s="45" t="str">
        <f>IF(LEFT(A290,1)="S","",VLOOKUP(B290,$AC$4:$AE$734,3)-'Quoting term rates'!$C$4)</f>
        <v/>
      </c>
      <c r="E290" s="45" t="str">
        <f t="shared" si="96"/>
        <v/>
      </c>
      <c r="AC290" s="1">
        <f t="shared" si="92"/>
        <v>46040</v>
      </c>
      <c r="AD290">
        <f>IF(VLOOKUP(AC290,'FOMC exp '!$C$6:$C$22,1)=AC290,MATCH(AC290,'FOMC exp '!$C$6:$C$22,1),AD289)</f>
        <v>7</v>
      </c>
      <c r="AE290" s="18" cm="1">
        <f t="array" ref="AE290">INDEX('FOMC exp '!$C$6:$D$23,AD290,2)</f>
        <v>4.4999999999999998E-2</v>
      </c>
    </row>
    <row r="291" spans="1:31">
      <c r="A291" t="str">
        <f t="shared" si="91"/>
        <v>Monday</v>
      </c>
      <c r="B291" s="1">
        <f t="shared" si="93"/>
        <v>46041</v>
      </c>
      <c r="C291" s="45">
        <f>IF(LEFT(A291,1)="S","",VLOOKUP(B291,$AC$4:$AE$734,3)-'Quoting term rates'!$C$4)</f>
        <v>4.3299999999999998E-2</v>
      </c>
      <c r="D291">
        <f t="shared" ref="D291" si="103">D288*(1+C288*3/360)</f>
        <v>1.0351184530623923</v>
      </c>
      <c r="E291" s="45">
        <f t="shared" si="96"/>
        <v>4.4051021262931048E-2</v>
      </c>
      <c r="AC291" s="1">
        <f t="shared" si="92"/>
        <v>46041</v>
      </c>
      <c r="AD291">
        <f>IF(VLOOKUP(AC291,'FOMC exp '!$C$6:$C$22,1)=AC291,MATCH(AC291,'FOMC exp '!$C$6:$C$22,1),AD290)</f>
        <v>7</v>
      </c>
      <c r="AE291" s="18" cm="1">
        <f t="array" ref="AE291">INDEX('FOMC exp '!$C$6:$D$23,AD291,2)</f>
        <v>4.4999999999999998E-2</v>
      </c>
    </row>
    <row r="292" spans="1:31">
      <c r="A292" t="str">
        <f t="shared" si="91"/>
        <v>Tuesday</v>
      </c>
      <c r="B292" s="1">
        <f t="shared" si="93"/>
        <v>46042</v>
      </c>
      <c r="C292" s="45">
        <f>IF(LEFT(A292,1)="S","",VLOOKUP(B292,$AC$4:$AE$734,3)-'Quoting term rates'!$C$4)</f>
        <v>4.3299999999999998E-2</v>
      </c>
      <c r="D292">
        <f t="shared" ref="D292" si="104">D291*(1+C291*1/360)</f>
        <v>1.0352429548096633</v>
      </c>
      <c r="E292" s="45">
        <f t="shared" si="96"/>
        <v>4.4053693512079162E-2</v>
      </c>
      <c r="AC292" s="1">
        <f t="shared" si="92"/>
        <v>46042</v>
      </c>
      <c r="AD292">
        <f>IF(VLOOKUP(AC292,'FOMC exp '!$C$6:$C$22,1)=AC292,MATCH(AC292,'FOMC exp '!$C$6:$C$22,1),AD291)</f>
        <v>7</v>
      </c>
      <c r="AE292" s="18" cm="1">
        <f t="array" ref="AE292">INDEX('FOMC exp '!$C$6:$D$23,AD292,2)</f>
        <v>4.4999999999999998E-2</v>
      </c>
    </row>
    <row r="293" spans="1:31">
      <c r="A293" t="str">
        <f t="shared" si="91"/>
        <v>Wednesday</v>
      </c>
      <c r="B293" s="1">
        <f t="shared" si="93"/>
        <v>46043</v>
      </c>
      <c r="C293" s="45">
        <f>IF(LEFT(A293,1)="S","",VLOOKUP(B293,$AC$4:$AE$734,3)-'Quoting term rates'!$C$4)</f>
        <v>4.3299999999999998E-2</v>
      </c>
      <c r="D293">
        <f t="shared" si="95"/>
        <v>1.035367471531728</v>
      </c>
      <c r="E293" s="45">
        <f t="shared" si="96"/>
        <v>4.4056365921875749E-2</v>
      </c>
      <c r="AC293" s="1">
        <f t="shared" si="92"/>
        <v>46043</v>
      </c>
      <c r="AD293">
        <f>IF(VLOOKUP(AC293,'FOMC exp '!$C$6:$C$22,1)=AC293,MATCH(AC293,'FOMC exp '!$C$6:$C$22,1),AD292)</f>
        <v>7</v>
      </c>
      <c r="AE293" s="18" cm="1">
        <f t="array" ref="AE293">INDEX('FOMC exp '!$C$6:$D$23,AD293,2)</f>
        <v>4.4999999999999998E-2</v>
      </c>
    </row>
    <row r="294" spans="1:31">
      <c r="A294" t="str">
        <f t="shared" si="91"/>
        <v>Thursday</v>
      </c>
      <c r="B294" s="1">
        <f t="shared" si="93"/>
        <v>46044</v>
      </c>
      <c r="C294" s="45">
        <f>IF(LEFT(A294,1)="S","",VLOOKUP(B294,$AC$4:$AE$734,3)-'Quoting term rates'!$C$4)</f>
        <v>4.3299999999999998E-2</v>
      </c>
      <c r="D294">
        <f t="shared" si="95"/>
        <v>1.0354920032303874</v>
      </c>
      <c r="E294" s="45">
        <f t="shared" si="96"/>
        <v>4.4059038492894664E-2</v>
      </c>
      <c r="AC294" s="1">
        <f t="shared" si="92"/>
        <v>46044</v>
      </c>
      <c r="AD294">
        <f>IF(VLOOKUP(AC294,'FOMC exp '!$C$6:$C$22,1)=AC294,MATCH(AC294,'FOMC exp '!$C$6:$C$22,1),AD293)</f>
        <v>7</v>
      </c>
      <c r="AE294" s="18" cm="1">
        <f t="array" ref="AE294">INDEX('FOMC exp '!$C$6:$D$23,AD294,2)</f>
        <v>4.4999999999999998E-2</v>
      </c>
    </row>
    <row r="295" spans="1:31">
      <c r="A295" t="str">
        <f t="shared" si="91"/>
        <v>Friday</v>
      </c>
      <c r="B295" s="1">
        <f t="shared" si="93"/>
        <v>46045</v>
      </c>
      <c r="C295" s="45">
        <f>IF(LEFT(A295,1)="S","",VLOOKUP(B295,$AC$4:$AE$734,3)-'Quoting term rates'!$C$4)</f>
        <v>4.3299999999999998E-2</v>
      </c>
      <c r="D295">
        <f t="shared" si="95"/>
        <v>1.0356165499074426</v>
      </c>
      <c r="E295" s="45">
        <f t="shared" si="96"/>
        <v>4.4061711225702141E-2</v>
      </c>
      <c r="AC295" s="1">
        <f t="shared" si="92"/>
        <v>46045</v>
      </c>
      <c r="AD295">
        <f>IF(VLOOKUP(AC295,'FOMC exp '!$C$6:$C$22,1)=AC295,MATCH(AC295,'FOMC exp '!$C$6:$C$22,1),AD294)</f>
        <v>7</v>
      </c>
      <c r="AE295" s="18" cm="1">
        <f t="array" ref="AE295">INDEX('FOMC exp '!$C$6:$D$23,AD295,2)</f>
        <v>4.4999999999999998E-2</v>
      </c>
    </row>
    <row r="296" spans="1:31">
      <c r="A296" t="str">
        <f t="shared" si="91"/>
        <v>Saturday</v>
      </c>
      <c r="B296" s="1">
        <f t="shared" si="93"/>
        <v>46046</v>
      </c>
      <c r="C296" s="45" t="str">
        <f>IF(LEFT(A296,1)="S","",VLOOKUP(B296,$AC$4:$AE$734,3)-'Quoting term rates'!$C$4)</f>
        <v/>
      </c>
      <c r="E296" s="45" t="str">
        <f t="shared" si="96"/>
        <v/>
      </c>
      <c r="AC296" s="1">
        <f t="shared" si="92"/>
        <v>46046</v>
      </c>
      <c r="AD296">
        <f>IF(VLOOKUP(AC296,'FOMC exp '!$C$6:$C$22,1)=AC296,MATCH(AC296,'FOMC exp '!$C$6:$C$22,1),AD295)</f>
        <v>7</v>
      </c>
      <c r="AE296" s="18" cm="1">
        <f t="array" ref="AE296">INDEX('FOMC exp '!$C$6:$D$23,AD296,2)</f>
        <v>4.4999999999999998E-2</v>
      </c>
    </row>
    <row r="297" spans="1:31">
      <c r="A297" t="str">
        <f t="shared" si="91"/>
        <v>Sunday</v>
      </c>
      <c r="B297" s="1">
        <f t="shared" si="93"/>
        <v>46047</v>
      </c>
      <c r="C297" s="45" t="str">
        <f>IF(LEFT(A297,1)="S","",VLOOKUP(B297,$AC$4:$AE$734,3)-'Quoting term rates'!$C$4)</f>
        <v/>
      </c>
      <c r="E297" s="45" t="str">
        <f t="shared" si="96"/>
        <v/>
      </c>
      <c r="AC297" s="1">
        <f t="shared" si="92"/>
        <v>46047</v>
      </c>
      <c r="AD297">
        <f>IF(VLOOKUP(AC297,'FOMC exp '!$C$6:$C$22,1)=AC297,MATCH(AC297,'FOMC exp '!$C$6:$C$22,1),AD296)</f>
        <v>7</v>
      </c>
      <c r="AE297" s="18" cm="1">
        <f t="array" ref="AE297">INDEX('FOMC exp '!$C$6:$D$23,AD297,2)</f>
        <v>4.4999999999999998E-2</v>
      </c>
    </row>
    <row r="298" spans="1:31">
      <c r="A298" t="str">
        <f t="shared" si="91"/>
        <v>Monday</v>
      </c>
      <c r="B298" s="1">
        <f t="shared" si="93"/>
        <v>46048</v>
      </c>
      <c r="C298" s="45">
        <f>IF(LEFT(A298,1)="S","",VLOOKUP(B298,$AC$4:$AE$734,3)-'Quoting term rates'!$C$4)</f>
        <v>4.3299999999999998E-2</v>
      </c>
      <c r="D298">
        <f t="shared" ref="D298" si="105">D295*(1+C295*3/360)</f>
        <v>1.0359902348792009</v>
      </c>
      <c r="E298" s="45">
        <f t="shared" si="96"/>
        <v>4.406967536228687E-2</v>
      </c>
      <c r="AC298" s="1">
        <f t="shared" si="92"/>
        <v>46048</v>
      </c>
      <c r="AD298">
        <f>IF(VLOOKUP(AC298,'FOMC exp '!$C$6:$C$22,1)=AC298,MATCH(AC298,'FOMC exp '!$C$6:$C$22,1),AD297)</f>
        <v>7</v>
      </c>
      <c r="AE298" s="18" cm="1">
        <f t="array" ref="AE298">INDEX('FOMC exp '!$C$6:$D$23,AD298,2)</f>
        <v>4.4999999999999998E-2</v>
      </c>
    </row>
    <row r="299" spans="1:31">
      <c r="A299" t="str">
        <f t="shared" si="91"/>
        <v>Tuesday</v>
      </c>
      <c r="B299" s="1">
        <f t="shared" si="93"/>
        <v>46049</v>
      </c>
      <c r="C299" s="45">
        <f>IF(LEFT(A299,1)="S","",VLOOKUP(B299,$AC$4:$AE$734,3)-'Quoting term rates'!$C$4)</f>
        <v>4.3299999999999998E-2</v>
      </c>
      <c r="D299">
        <f t="shared" ref="D299" si="106">D298*(1+C298*1/360)</f>
        <v>1.0361148414824517</v>
      </c>
      <c r="E299" s="45">
        <f t="shared" si="96"/>
        <v>4.4072348927737669E-2</v>
      </c>
      <c r="AC299" s="1">
        <f t="shared" si="92"/>
        <v>46049</v>
      </c>
      <c r="AD299">
        <f>IF(VLOOKUP(AC299,'FOMC exp '!$C$6:$C$22,1)=AC299,MATCH(AC299,'FOMC exp '!$C$6:$C$22,1),AD298)</f>
        <v>7</v>
      </c>
      <c r="AE299" s="18" cm="1">
        <f t="array" ref="AE299">INDEX('FOMC exp '!$C$6:$D$23,AD299,2)</f>
        <v>4.4999999999999998E-2</v>
      </c>
    </row>
    <row r="300" spans="1:31">
      <c r="A300" t="str">
        <f t="shared" si="91"/>
        <v>Wednesday</v>
      </c>
      <c r="B300" s="1">
        <f t="shared" si="93"/>
        <v>46050</v>
      </c>
      <c r="C300" s="45">
        <f>IF(LEFT(A300,1)="S","",VLOOKUP(B300,$AC$4:$AE$734,3)-'Quoting term rates'!$C$4)</f>
        <v>4.3299999999999998E-2</v>
      </c>
      <c r="D300">
        <f t="shared" si="95"/>
        <v>1.0362394630731078</v>
      </c>
      <c r="E300" s="45">
        <f t="shared" si="96"/>
        <v>4.4075022656482422E-2</v>
      </c>
      <c r="AC300" s="1">
        <f t="shared" si="92"/>
        <v>46050</v>
      </c>
      <c r="AD300">
        <f>IF(VLOOKUP(AC300,'FOMC exp '!$C$6:$C$22,1)=AC300,MATCH(AC300,'FOMC exp '!$C$6:$C$22,1),AD299)</f>
        <v>8</v>
      </c>
      <c r="AE300" s="18" cm="1">
        <f t="array" ref="AE300">INDEX('FOMC exp '!$C$6:$D$23,AD300,2)</f>
        <v>4.4999999999999998E-2</v>
      </c>
    </row>
    <row r="301" spans="1:31">
      <c r="A301" t="str">
        <f t="shared" si="91"/>
        <v>Thursday</v>
      </c>
      <c r="B301" s="1">
        <f t="shared" si="93"/>
        <v>46051</v>
      </c>
      <c r="C301" s="45">
        <f>IF(LEFT(A301,1)="S","",VLOOKUP(B301,$AC$4:$AE$734,3)-'Quoting term rates'!$C$4)</f>
        <v>4.3299999999999998E-2</v>
      </c>
      <c r="D301">
        <f t="shared" si="95"/>
        <v>1.0363640996529719</v>
      </c>
      <c r="E301" s="45">
        <f t="shared" si="96"/>
        <v>4.4077696549056897E-2</v>
      </c>
      <c r="AC301" s="1">
        <f t="shared" si="92"/>
        <v>46051</v>
      </c>
      <c r="AD301">
        <f>IF(VLOOKUP(AC301,'FOMC exp '!$C$6:$C$22,1)=AC301,MATCH(AC301,'FOMC exp '!$C$6:$C$22,1),AD300)</f>
        <v>8</v>
      </c>
      <c r="AE301" s="18" cm="1">
        <f t="array" ref="AE301">INDEX('FOMC exp '!$C$6:$D$23,AD301,2)</f>
        <v>4.4999999999999998E-2</v>
      </c>
    </row>
    <row r="302" spans="1:31">
      <c r="A302" t="str">
        <f t="shared" si="91"/>
        <v>Friday</v>
      </c>
      <c r="B302" s="1">
        <f t="shared" si="93"/>
        <v>46052</v>
      </c>
      <c r="C302" s="45">
        <f>IF(LEFT(A302,1)="S","",VLOOKUP(B302,$AC$4:$AE$734,3)-'Quoting term rates'!$C$4)</f>
        <v>4.3299999999999998E-2</v>
      </c>
      <c r="D302">
        <f t="shared" si="95"/>
        <v>1.036488751223847</v>
      </c>
      <c r="E302" s="45">
        <f t="shared" si="96"/>
        <v>4.4080370605989641E-2</v>
      </c>
      <c r="AC302" s="1">
        <f t="shared" si="92"/>
        <v>46052</v>
      </c>
      <c r="AD302">
        <f>IF(VLOOKUP(AC302,'FOMC exp '!$C$6:$C$22,1)=AC302,MATCH(AC302,'FOMC exp '!$C$6:$C$22,1),AD301)</f>
        <v>8</v>
      </c>
      <c r="AE302" s="18" cm="1">
        <f t="array" ref="AE302">INDEX('FOMC exp '!$C$6:$D$23,AD302,2)</f>
        <v>4.4999999999999998E-2</v>
      </c>
    </row>
    <row r="303" spans="1:31">
      <c r="A303" t="str">
        <f t="shared" si="91"/>
        <v>Saturday</v>
      </c>
      <c r="B303" s="1">
        <f t="shared" si="93"/>
        <v>46053</v>
      </c>
      <c r="C303" s="45" t="str">
        <f>IF(LEFT(A303,1)="S","",VLOOKUP(B303,$AC$4:$AE$734,3)-'Quoting term rates'!$C$4)</f>
        <v/>
      </c>
      <c r="E303" s="45" t="str">
        <f t="shared" si="96"/>
        <v/>
      </c>
      <c r="AC303" s="1">
        <f t="shared" si="92"/>
        <v>46053</v>
      </c>
      <c r="AD303">
        <f>IF(VLOOKUP(AC303,'FOMC exp '!$C$6:$C$22,1)=AC303,MATCH(AC303,'FOMC exp '!$C$6:$C$22,1),AD302)</f>
        <v>8</v>
      </c>
      <c r="AE303" s="18" cm="1">
        <f t="array" ref="AE303">INDEX('FOMC exp '!$C$6:$D$23,AD303,2)</f>
        <v>4.4999999999999998E-2</v>
      </c>
    </row>
    <row r="304" spans="1:31">
      <c r="A304" t="str">
        <f t="shared" si="91"/>
        <v>Sunday</v>
      </c>
      <c r="B304" s="1">
        <f t="shared" si="93"/>
        <v>46054</v>
      </c>
      <c r="C304" s="45" t="str">
        <f>IF(LEFT(A304,1)="S","",VLOOKUP(B304,$AC$4:$AE$734,3)-'Quoting term rates'!$C$4)</f>
        <v/>
      </c>
      <c r="E304" s="45" t="str">
        <f t="shared" si="96"/>
        <v/>
      </c>
      <c r="AC304" s="1">
        <f t="shared" si="92"/>
        <v>46054</v>
      </c>
      <c r="AD304">
        <f>IF(VLOOKUP(AC304,'FOMC exp '!$C$6:$C$22,1)=AC304,MATCH(AC304,'FOMC exp '!$C$6:$C$22,1),AD303)</f>
        <v>8</v>
      </c>
      <c r="AE304" s="18" cm="1">
        <f t="array" ref="AE304">INDEX('FOMC exp '!$C$6:$D$23,AD304,2)</f>
        <v>4.4999999999999998E-2</v>
      </c>
    </row>
    <row r="305" spans="1:31">
      <c r="A305" t="str">
        <f t="shared" si="91"/>
        <v>Monday</v>
      </c>
      <c r="B305" s="1">
        <f t="shared" si="93"/>
        <v>46055</v>
      </c>
      <c r="C305" s="45">
        <f>IF(LEFT(A305,1)="S","",VLOOKUP(B305,$AC$4:$AE$734,3)-'Quoting term rates'!$C$4)</f>
        <v>4.3299999999999998E-2</v>
      </c>
      <c r="D305">
        <f t="shared" ref="D305" si="107">D302*(1+C302*3/360)</f>
        <v>1.0368627509149135</v>
      </c>
      <c r="E305" s="45">
        <f t="shared" si="96"/>
        <v>4.4088339964680638E-2</v>
      </c>
      <c r="AC305" s="1">
        <f t="shared" si="92"/>
        <v>46055</v>
      </c>
      <c r="AD305">
        <f>IF(VLOOKUP(AC305,'FOMC exp '!$C$6:$C$22,1)=AC305,MATCH(AC305,'FOMC exp '!$C$6:$C$22,1),AD304)</f>
        <v>8</v>
      </c>
      <c r="AE305" s="18" cm="1">
        <f t="array" ref="AE305">INDEX('FOMC exp '!$C$6:$D$23,AD305,2)</f>
        <v>4.4999999999999998E-2</v>
      </c>
    </row>
    <row r="306" spans="1:31">
      <c r="A306" t="str">
        <f t="shared" si="91"/>
        <v>Tuesday</v>
      </c>
      <c r="B306" s="1">
        <f t="shared" si="93"/>
        <v>46056</v>
      </c>
      <c r="C306" s="45">
        <f>IF(LEFT(A306,1)="S","",VLOOKUP(B306,$AC$4:$AE$734,3)-'Quoting term rates'!$C$4)</f>
        <v>4.3299999999999998E-2</v>
      </c>
      <c r="D306">
        <f t="shared" ref="D306" si="108">D305*(1+C305*1/360)</f>
        <v>1.0369874624624542</v>
      </c>
      <c r="E306" s="45">
        <f t="shared" si="96"/>
        <v>4.4091014855905684E-2</v>
      </c>
      <c r="AC306" s="1">
        <f t="shared" si="92"/>
        <v>46056</v>
      </c>
      <c r="AD306">
        <f>IF(VLOOKUP(AC306,'FOMC exp '!$C$6:$C$22,1)=AC306,MATCH(AC306,'FOMC exp '!$C$6:$C$22,1),AD305)</f>
        <v>8</v>
      </c>
      <c r="AE306" s="18" cm="1">
        <f t="array" ref="AE306">INDEX('FOMC exp '!$C$6:$D$23,AD306,2)</f>
        <v>4.4999999999999998E-2</v>
      </c>
    </row>
    <row r="307" spans="1:31">
      <c r="A307" t="str">
        <f t="shared" si="91"/>
        <v>Wednesday</v>
      </c>
      <c r="B307" s="1">
        <f t="shared" si="93"/>
        <v>46057</v>
      </c>
      <c r="C307" s="45">
        <f>IF(LEFT(A307,1)="S","",VLOOKUP(B307,$AC$4:$AE$734,3)-'Quoting term rates'!$C$4)</f>
        <v>4.3299999999999998E-2</v>
      </c>
      <c r="D307">
        <f t="shared" si="95"/>
        <v>1.0371121890100226</v>
      </c>
      <c r="E307" s="45">
        <f t="shared" si="96"/>
        <v>4.4093689912898089E-2</v>
      </c>
      <c r="AC307" s="1">
        <f t="shared" si="92"/>
        <v>46057</v>
      </c>
      <c r="AD307">
        <f>IF(VLOOKUP(AC307,'FOMC exp '!$C$6:$C$22,1)=AC307,MATCH(AC307,'FOMC exp '!$C$6:$C$22,1),AD306)</f>
        <v>8</v>
      </c>
      <c r="AE307" s="18" cm="1">
        <f t="array" ref="AE307">INDEX('FOMC exp '!$C$6:$D$23,AD307,2)</f>
        <v>4.4999999999999998E-2</v>
      </c>
    </row>
    <row r="308" spans="1:31">
      <c r="A308" t="str">
        <f t="shared" si="91"/>
        <v>Thursday</v>
      </c>
      <c r="B308" s="1">
        <f t="shared" si="93"/>
        <v>46058</v>
      </c>
      <c r="C308" s="45">
        <f>IF(LEFT(A308,1)="S","",VLOOKUP(B308,$AC$4:$AE$734,3)-'Quoting term rates'!$C$4)</f>
        <v>4.3299999999999998E-2</v>
      </c>
      <c r="D308">
        <f t="shared" si="95"/>
        <v>1.0372369305594229</v>
      </c>
      <c r="E308" s="45">
        <f t="shared" si="96"/>
        <v>4.4096365136158694E-2</v>
      </c>
      <c r="AC308" s="1">
        <f t="shared" si="92"/>
        <v>46058</v>
      </c>
      <c r="AD308">
        <f>IF(VLOOKUP(AC308,'FOMC exp '!$C$6:$C$22,1)=AC308,MATCH(AC308,'FOMC exp '!$C$6:$C$22,1),AD307)</f>
        <v>8</v>
      </c>
      <c r="AE308" s="18" cm="1">
        <f t="array" ref="AE308">INDEX('FOMC exp '!$C$6:$D$23,AD308,2)</f>
        <v>4.4999999999999998E-2</v>
      </c>
    </row>
    <row r="309" spans="1:31">
      <c r="A309" t="str">
        <f t="shared" si="91"/>
        <v>Friday</v>
      </c>
      <c r="B309" s="1">
        <f t="shared" si="93"/>
        <v>46059</v>
      </c>
      <c r="C309" s="45">
        <f>IF(LEFT(A309,1)="S","",VLOOKUP(B309,$AC$4:$AE$734,3)-'Quoting term rates'!$C$4)</f>
        <v>4.3299999999999998E-2</v>
      </c>
      <c r="D309">
        <f t="shared" si="95"/>
        <v>1.0373616871124596</v>
      </c>
      <c r="E309" s="45">
        <f t="shared" si="96"/>
        <v>4.4099040526181792E-2</v>
      </c>
      <c r="AC309" s="1">
        <f t="shared" si="92"/>
        <v>46059</v>
      </c>
      <c r="AD309">
        <f>IF(VLOOKUP(AC309,'FOMC exp '!$C$6:$C$22,1)=AC309,MATCH(AC309,'FOMC exp '!$C$6:$C$22,1),AD308)</f>
        <v>8</v>
      </c>
      <c r="AE309" s="18" cm="1">
        <f t="array" ref="AE309">INDEX('FOMC exp '!$C$6:$D$23,AD309,2)</f>
        <v>4.4999999999999998E-2</v>
      </c>
    </row>
    <row r="310" spans="1:31">
      <c r="A310" t="str">
        <f t="shared" si="91"/>
        <v>Saturday</v>
      </c>
      <c r="B310" s="1">
        <f t="shared" si="93"/>
        <v>46060</v>
      </c>
      <c r="C310" s="45" t="str">
        <f>IF(LEFT(A310,1)="S","",VLOOKUP(B310,$AC$4:$AE$734,3)-'Quoting term rates'!$C$4)</f>
        <v/>
      </c>
      <c r="E310" s="45" t="str">
        <f t="shared" si="96"/>
        <v/>
      </c>
      <c r="AC310" s="1">
        <f t="shared" si="92"/>
        <v>46060</v>
      </c>
      <c r="AD310">
        <f>IF(VLOOKUP(AC310,'FOMC exp '!$C$6:$C$22,1)=AC310,MATCH(AC310,'FOMC exp '!$C$6:$C$22,1),AD309)</f>
        <v>8</v>
      </c>
      <c r="AE310" s="18" cm="1">
        <f t="array" ref="AE310">INDEX('FOMC exp '!$C$6:$D$23,AD310,2)</f>
        <v>4.4999999999999998E-2</v>
      </c>
    </row>
    <row r="311" spans="1:31">
      <c r="A311" t="str">
        <f t="shared" si="91"/>
        <v>Sunday</v>
      </c>
      <c r="B311" s="1">
        <f t="shared" si="93"/>
        <v>46061</v>
      </c>
      <c r="C311" s="45" t="str">
        <f>IF(LEFT(A311,1)="S","",VLOOKUP(B311,$AC$4:$AE$734,3)-'Quoting term rates'!$C$4)</f>
        <v/>
      </c>
      <c r="E311" s="45" t="str">
        <f t="shared" si="96"/>
        <v/>
      </c>
      <c r="AC311" s="1">
        <f t="shared" si="92"/>
        <v>46061</v>
      </c>
      <c r="AD311">
        <f>IF(VLOOKUP(AC311,'FOMC exp '!$C$6:$C$22,1)=AC311,MATCH(AC311,'FOMC exp '!$C$6:$C$22,1),AD310)</f>
        <v>8</v>
      </c>
      <c r="AE311" s="18" cm="1">
        <f t="array" ref="AE311">INDEX('FOMC exp '!$C$6:$D$23,AD311,2)</f>
        <v>4.4999999999999998E-2</v>
      </c>
    </row>
    <row r="312" spans="1:31">
      <c r="A312" t="str">
        <f t="shared" si="91"/>
        <v>Monday</v>
      </c>
      <c r="B312" s="1">
        <f t="shared" si="93"/>
        <v>46062</v>
      </c>
      <c r="C312" s="45">
        <f>IF(LEFT(A312,1)="S","",VLOOKUP(B312,$AC$4:$AE$734,3)-'Quoting term rates'!$C$4)</f>
        <v>4.3299999999999998E-2</v>
      </c>
      <c r="D312">
        <f t="shared" ref="D312" si="109">D309*(1+C309*3/360)</f>
        <v>1.0377360017878927</v>
      </c>
      <c r="E312" s="45">
        <f t="shared" si="96"/>
        <v>4.4107015076757718E-2</v>
      </c>
      <c r="AC312" s="1">
        <f t="shared" si="92"/>
        <v>46062</v>
      </c>
      <c r="AD312">
        <f>IF(VLOOKUP(AC312,'FOMC exp '!$C$6:$C$22,1)=AC312,MATCH(AC312,'FOMC exp '!$C$6:$C$22,1),AD311)</f>
        <v>8</v>
      </c>
      <c r="AE312" s="18" cm="1">
        <f t="array" ref="AE312">INDEX('FOMC exp '!$C$6:$D$23,AD312,2)</f>
        <v>4.4999999999999998E-2</v>
      </c>
    </row>
    <row r="313" spans="1:31">
      <c r="A313" t="str">
        <f t="shared" si="91"/>
        <v>Tuesday</v>
      </c>
      <c r="B313" s="1">
        <f t="shared" si="93"/>
        <v>46063</v>
      </c>
      <c r="C313" s="45">
        <f>IF(LEFT(A313,1)="S","",VLOOKUP(B313,$AC$4:$AE$734,3)-'Quoting term rates'!$C$4)</f>
        <v>4.3299999999999998E-2</v>
      </c>
      <c r="D313">
        <f t="shared" ref="D313" si="110">D312*(1+C312*1/360)</f>
        <v>1.0378608183681077</v>
      </c>
      <c r="E313" s="45">
        <f t="shared" si="96"/>
        <v>4.410969130264978E-2</v>
      </c>
      <c r="AC313" s="1">
        <f t="shared" si="92"/>
        <v>46063</v>
      </c>
      <c r="AD313">
        <f>IF(VLOOKUP(AC313,'FOMC exp '!$C$6:$C$22,1)=AC313,MATCH(AC313,'FOMC exp '!$C$6:$C$22,1),AD312)</f>
        <v>8</v>
      </c>
      <c r="AE313" s="18" cm="1">
        <f t="array" ref="AE313">INDEX('FOMC exp '!$C$6:$D$23,AD313,2)</f>
        <v>4.4999999999999998E-2</v>
      </c>
    </row>
    <row r="314" spans="1:31">
      <c r="A314" t="str">
        <f t="shared" si="91"/>
        <v>Wednesday</v>
      </c>
      <c r="B314" s="1">
        <f t="shared" si="93"/>
        <v>46064</v>
      </c>
      <c r="C314" s="45">
        <f>IF(LEFT(A314,1)="S","",VLOOKUP(B314,$AC$4:$AE$734,3)-'Quoting term rates'!$C$4)</f>
        <v>4.3299999999999998E-2</v>
      </c>
      <c r="D314">
        <f t="shared" si="95"/>
        <v>1.0379856499609836</v>
      </c>
      <c r="E314" s="45">
        <f t="shared" si="96"/>
        <v>4.4112367696626159E-2</v>
      </c>
      <c r="AC314" s="1">
        <f t="shared" si="92"/>
        <v>46064</v>
      </c>
      <c r="AD314">
        <f>IF(VLOOKUP(AC314,'FOMC exp '!$C$6:$C$22,1)=AC314,MATCH(AC314,'FOMC exp '!$C$6:$C$22,1),AD313)</f>
        <v>8</v>
      </c>
      <c r="AE314" s="18" cm="1">
        <f t="array" ref="AE314">INDEX('FOMC exp '!$C$6:$D$23,AD314,2)</f>
        <v>4.4999999999999998E-2</v>
      </c>
    </row>
    <row r="315" spans="1:31">
      <c r="A315" t="str">
        <f t="shared" si="91"/>
        <v>Thursday</v>
      </c>
      <c r="B315" s="1">
        <f t="shared" si="93"/>
        <v>46065</v>
      </c>
      <c r="C315" s="45">
        <f>IF(LEFT(A315,1)="S","",VLOOKUP(B315,$AC$4:$AE$734,3)-'Quoting term rates'!$C$4)</f>
        <v>4.3299999999999998E-2</v>
      </c>
      <c r="D315">
        <f t="shared" si="95"/>
        <v>1.0381104965683261</v>
      </c>
      <c r="E315" s="45">
        <f t="shared" si="96"/>
        <v>4.411504425915562E-2</v>
      </c>
      <c r="AC315" s="1">
        <f t="shared" si="92"/>
        <v>46065</v>
      </c>
      <c r="AD315">
        <f>IF(VLOOKUP(AC315,'FOMC exp '!$C$6:$C$22,1)=AC315,MATCH(AC315,'FOMC exp '!$C$6:$C$22,1),AD314)</f>
        <v>8</v>
      </c>
      <c r="AE315" s="18" cm="1">
        <f t="array" ref="AE315">INDEX('FOMC exp '!$C$6:$D$23,AD315,2)</f>
        <v>4.4999999999999998E-2</v>
      </c>
    </row>
    <row r="316" spans="1:31">
      <c r="A316" t="str">
        <f t="shared" si="91"/>
        <v>Friday</v>
      </c>
      <c r="B316" s="1">
        <f t="shared" si="93"/>
        <v>46066</v>
      </c>
      <c r="C316" s="45">
        <f>IF(LEFT(A316,1)="S","",VLOOKUP(B316,$AC$4:$AE$734,3)-'Quoting term rates'!$C$4)</f>
        <v>4.3299999999999998E-2</v>
      </c>
      <c r="D316">
        <f t="shared" si="95"/>
        <v>1.0382353581919412</v>
      </c>
      <c r="E316" s="45">
        <f t="shared" si="96"/>
        <v>4.411772099070143E-2</v>
      </c>
      <c r="AC316" s="1">
        <f t="shared" si="92"/>
        <v>46066</v>
      </c>
      <c r="AD316">
        <f>IF(VLOOKUP(AC316,'FOMC exp '!$C$6:$C$22,1)=AC316,MATCH(AC316,'FOMC exp '!$C$6:$C$22,1),AD315)</f>
        <v>8</v>
      </c>
      <c r="AE316" s="18" cm="1">
        <f t="array" ref="AE316">INDEX('FOMC exp '!$C$6:$D$23,AD316,2)</f>
        <v>4.4999999999999998E-2</v>
      </c>
    </row>
    <row r="317" spans="1:31">
      <c r="A317" t="str">
        <f t="shared" si="91"/>
        <v>Saturday</v>
      </c>
      <c r="B317" s="1">
        <f t="shared" si="93"/>
        <v>46067</v>
      </c>
      <c r="C317" s="45" t="str">
        <f>IF(LEFT(A317,1)="S","",VLOOKUP(B317,$AC$4:$AE$734,3)-'Quoting term rates'!$C$4)</f>
        <v/>
      </c>
      <c r="E317" s="45" t="str">
        <f t="shared" si="96"/>
        <v/>
      </c>
      <c r="AC317" s="1">
        <f t="shared" si="92"/>
        <v>46067</v>
      </c>
      <c r="AD317">
        <f>IF(VLOOKUP(AC317,'FOMC exp '!$C$6:$C$22,1)=AC317,MATCH(AC317,'FOMC exp '!$C$6:$C$22,1),AD316)</f>
        <v>8</v>
      </c>
      <c r="AE317" s="18" cm="1">
        <f t="array" ref="AE317">INDEX('FOMC exp '!$C$6:$D$23,AD317,2)</f>
        <v>4.4999999999999998E-2</v>
      </c>
    </row>
    <row r="318" spans="1:31">
      <c r="A318" t="str">
        <f t="shared" si="91"/>
        <v>Sunday</v>
      </c>
      <c r="B318" s="1">
        <f t="shared" si="93"/>
        <v>46068</v>
      </c>
      <c r="C318" s="45" t="str">
        <f>IF(LEFT(A318,1)="S","",VLOOKUP(B318,$AC$4:$AE$734,3)-'Quoting term rates'!$C$4)</f>
        <v/>
      </c>
      <c r="E318" s="45" t="str">
        <f t="shared" si="96"/>
        <v/>
      </c>
      <c r="AC318" s="1">
        <f t="shared" si="92"/>
        <v>46068</v>
      </c>
      <c r="AD318">
        <f>IF(VLOOKUP(AC318,'FOMC exp '!$C$6:$C$22,1)=AC318,MATCH(AC318,'FOMC exp '!$C$6:$C$22,1),AD317)</f>
        <v>8</v>
      </c>
      <c r="AE318" s="18" cm="1">
        <f t="array" ref="AE318">INDEX('FOMC exp '!$C$6:$D$23,AD318,2)</f>
        <v>4.4999999999999998E-2</v>
      </c>
    </row>
    <row r="319" spans="1:31">
      <c r="A319" t="str">
        <f t="shared" si="91"/>
        <v>Monday</v>
      </c>
      <c r="B319" s="1">
        <f t="shared" si="93"/>
        <v>46069</v>
      </c>
      <c r="C319" s="45">
        <f>IF(LEFT(A319,1)="S","",VLOOKUP(B319,$AC$4:$AE$734,3)-'Quoting term rates'!$C$4)</f>
        <v>4.3299999999999998E-2</v>
      </c>
      <c r="D319">
        <f t="shared" ref="D319" si="111">D316*(1+C316*3/360)</f>
        <v>1.0386099881170221</v>
      </c>
      <c r="E319" s="45">
        <f t="shared" si="96"/>
        <v>4.4125700705168115E-2</v>
      </c>
      <c r="AC319" s="1">
        <f t="shared" si="92"/>
        <v>46069</v>
      </c>
      <c r="AD319">
        <f>IF(VLOOKUP(AC319,'FOMC exp '!$C$6:$C$22,1)=AC319,MATCH(AC319,'FOMC exp '!$C$6:$C$22,1),AD318)</f>
        <v>8</v>
      </c>
      <c r="AE319" s="18" cm="1">
        <f t="array" ref="AE319">INDEX('FOMC exp '!$C$6:$D$23,AD319,2)</f>
        <v>4.4999999999999998E-2</v>
      </c>
    </row>
    <row r="320" spans="1:31">
      <c r="A320" t="str">
        <f t="shared" si="91"/>
        <v>Tuesday</v>
      </c>
      <c r="B320" s="1">
        <f t="shared" si="93"/>
        <v>46070</v>
      </c>
      <c r="C320" s="45">
        <f>IF(LEFT(A320,1)="S","",VLOOKUP(B320,$AC$4:$AE$734,3)-'Quoting term rates'!$C$4)</f>
        <v>4.3299999999999998E-2</v>
      </c>
      <c r="D320">
        <f t="shared" ref="D320" si="112">D319*(1+C319*1/360)</f>
        <v>1.0387349098183707</v>
      </c>
      <c r="E320" s="45">
        <f t="shared" si="96"/>
        <v>4.4128378274093188E-2</v>
      </c>
      <c r="AC320" s="1">
        <f t="shared" si="92"/>
        <v>46070</v>
      </c>
      <c r="AD320">
        <f>IF(VLOOKUP(AC320,'FOMC exp '!$C$6:$C$22,1)=AC320,MATCH(AC320,'FOMC exp '!$C$6:$C$22,1),AD319)</f>
        <v>8</v>
      </c>
      <c r="AE320" s="18" cm="1">
        <f t="array" ref="AE320">INDEX('FOMC exp '!$C$6:$D$23,AD320,2)</f>
        <v>4.4999999999999998E-2</v>
      </c>
    </row>
    <row r="321" spans="1:31">
      <c r="A321" t="str">
        <f t="shared" si="91"/>
        <v>Wednesday</v>
      </c>
      <c r="B321" s="1">
        <f t="shared" si="93"/>
        <v>46071</v>
      </c>
      <c r="C321" s="45">
        <f>IF(LEFT(A321,1)="S","",VLOOKUP(B321,$AC$4:$AE$734,3)-'Quoting term rates'!$C$4)</f>
        <v>4.3299999999999998E-2</v>
      </c>
      <c r="D321">
        <f t="shared" si="95"/>
        <v>1.0388598465450238</v>
      </c>
      <c r="E321" s="45">
        <f t="shared" si="96"/>
        <v>4.4131056013276278E-2</v>
      </c>
      <c r="AC321" s="1">
        <f t="shared" si="92"/>
        <v>46071</v>
      </c>
      <c r="AD321">
        <f>IF(VLOOKUP(AC321,'FOMC exp '!$C$6:$C$22,1)=AC321,MATCH(AC321,'FOMC exp '!$C$6:$C$22,1),AD320)</f>
        <v>8</v>
      </c>
      <c r="AE321" s="18" cm="1">
        <f t="array" ref="AE321">INDEX('FOMC exp '!$C$6:$D$23,AD321,2)</f>
        <v>4.4999999999999998E-2</v>
      </c>
    </row>
    <row r="322" spans="1:31">
      <c r="A322" t="str">
        <f t="shared" si="91"/>
        <v>Thursday</v>
      </c>
      <c r="B322" s="1">
        <f t="shared" si="93"/>
        <v>46072</v>
      </c>
      <c r="C322" s="45">
        <f>IF(LEFT(A322,1)="S","",VLOOKUP(B322,$AC$4:$AE$734,3)-'Quoting term rates'!$C$4)</f>
        <v>4.3299999999999998E-2</v>
      </c>
      <c r="D322">
        <f t="shared" si="95"/>
        <v>1.0389847982987888</v>
      </c>
      <c r="E322" s="45">
        <f t="shared" si="96"/>
        <v>4.4133733923157087E-2</v>
      </c>
      <c r="AC322" s="1">
        <f t="shared" si="92"/>
        <v>46072</v>
      </c>
      <c r="AD322">
        <f>IF(VLOOKUP(AC322,'FOMC exp '!$C$6:$C$22,1)=AC322,MATCH(AC322,'FOMC exp '!$C$6:$C$22,1),AD321)</f>
        <v>8</v>
      </c>
      <c r="AE322" s="18" cm="1">
        <f t="array" ref="AE322">INDEX('FOMC exp '!$C$6:$D$23,AD322,2)</f>
        <v>4.4999999999999998E-2</v>
      </c>
    </row>
    <row r="323" spans="1:31">
      <c r="A323" t="str">
        <f t="shared" si="91"/>
        <v>Friday</v>
      </c>
      <c r="B323" s="1">
        <f t="shared" si="93"/>
        <v>46073</v>
      </c>
      <c r="C323" s="45">
        <f>IF(LEFT(A323,1)="S","",VLOOKUP(B323,$AC$4:$AE$734,3)-'Quoting term rates'!$C$4)</f>
        <v>4.3299999999999998E-2</v>
      </c>
      <c r="D323">
        <f t="shared" si="95"/>
        <v>1.0391097650814731</v>
      </c>
      <c r="E323" s="45">
        <f t="shared" si="96"/>
        <v>4.4136412004170296E-2</v>
      </c>
      <c r="AC323" s="1">
        <f t="shared" si="92"/>
        <v>46073</v>
      </c>
      <c r="AD323">
        <f>IF(VLOOKUP(AC323,'FOMC exp '!$C$6:$C$22,1)=AC323,MATCH(AC323,'FOMC exp '!$C$6:$C$22,1),AD322)</f>
        <v>8</v>
      </c>
      <c r="AE323" s="18" cm="1">
        <f t="array" ref="AE323">INDEX('FOMC exp '!$C$6:$D$23,AD323,2)</f>
        <v>4.4999999999999998E-2</v>
      </c>
    </row>
    <row r="324" spans="1:31">
      <c r="A324" t="str">
        <f t="shared" si="91"/>
        <v>Saturday</v>
      </c>
      <c r="B324" s="1">
        <f t="shared" si="93"/>
        <v>46074</v>
      </c>
      <c r="C324" s="45" t="str">
        <f>IF(LEFT(A324,1)="S","",VLOOKUP(B324,$AC$4:$AE$734,3)-'Quoting term rates'!$C$4)</f>
        <v/>
      </c>
      <c r="E324" s="45" t="str">
        <f t="shared" si="96"/>
        <v/>
      </c>
      <c r="AC324" s="1">
        <f t="shared" si="92"/>
        <v>46074</v>
      </c>
      <c r="AD324">
        <f>IF(VLOOKUP(AC324,'FOMC exp '!$C$6:$C$22,1)=AC324,MATCH(AC324,'FOMC exp '!$C$6:$C$22,1),AD323)</f>
        <v>8</v>
      </c>
      <c r="AE324" s="18" cm="1">
        <f t="array" ref="AE324">INDEX('FOMC exp '!$C$6:$D$23,AD324,2)</f>
        <v>4.4999999999999998E-2</v>
      </c>
    </row>
    <row r="325" spans="1:31">
      <c r="A325" t="str">
        <f t="shared" ref="A325:A388" si="113">VLOOKUP(WEEKDAY(B325,2),$Z$2:$AA$8,2)</f>
        <v>Sunday</v>
      </c>
      <c r="B325" s="1">
        <f t="shared" si="93"/>
        <v>46075</v>
      </c>
      <c r="C325" s="45" t="str">
        <f>IF(LEFT(A325,1)="S","",VLOOKUP(B325,$AC$4:$AE$734,3)-'Quoting term rates'!$C$4)</f>
        <v/>
      </c>
      <c r="E325" s="45" t="str">
        <f t="shared" si="96"/>
        <v/>
      </c>
      <c r="AC325" s="1">
        <f t="shared" ref="AC325:AC388" si="114">B325</f>
        <v>46075</v>
      </c>
      <c r="AD325">
        <f>IF(VLOOKUP(AC325,'FOMC exp '!$C$6:$C$22,1)=AC325,MATCH(AC325,'FOMC exp '!$C$6:$C$22,1),AD324)</f>
        <v>8</v>
      </c>
      <c r="AE325" s="18" cm="1">
        <f t="array" ref="AE325">INDEX('FOMC exp '!$C$6:$D$23,AD325,2)</f>
        <v>4.4999999999999998E-2</v>
      </c>
    </row>
    <row r="326" spans="1:31">
      <c r="A326" t="str">
        <f t="shared" si="113"/>
        <v>Monday</v>
      </c>
      <c r="B326" s="1">
        <f t="shared" ref="B326:B389" si="115">B325+1</f>
        <v>46076</v>
      </c>
      <c r="C326" s="45">
        <f>IF(LEFT(A326,1)="S","",VLOOKUP(B326,$AC$4:$AE$734,3)-'Quoting term rates'!$C$4)</f>
        <v>4.3299999999999998E-2</v>
      </c>
      <c r="D326">
        <f t="shared" ref="D326" si="116">D323*(1+C323*3/360)</f>
        <v>1.0394847105217067</v>
      </c>
      <c r="E326" s="45">
        <f t="shared" si="96"/>
        <v>4.4144396856566445E-2</v>
      </c>
      <c r="AC326" s="1">
        <f t="shared" si="114"/>
        <v>46076</v>
      </c>
      <c r="AD326">
        <f>IF(VLOOKUP(AC326,'FOMC exp '!$C$6:$C$22,1)=AC326,MATCH(AC326,'FOMC exp '!$C$6:$C$22,1),AD325)</f>
        <v>8</v>
      </c>
      <c r="AE326" s="18" cm="1">
        <f t="array" ref="AE326">INDEX('FOMC exp '!$C$6:$D$23,AD326,2)</f>
        <v>4.4999999999999998E-2</v>
      </c>
    </row>
    <row r="327" spans="1:31">
      <c r="A327" t="str">
        <f t="shared" si="113"/>
        <v>Tuesday</v>
      </c>
      <c r="B327" s="1">
        <f t="shared" si="115"/>
        <v>46077</v>
      </c>
      <c r="C327" s="45">
        <f>IF(LEFT(A327,1)="S","",VLOOKUP(B327,$AC$4:$AE$734,3)-'Quoting term rates'!$C$4)</f>
        <v>4.3299999999999998E-2</v>
      </c>
      <c r="D327">
        <f t="shared" ref="D327:D365" si="117">D326*(1+C326*1/360)</f>
        <v>1.0396097374327222</v>
      </c>
      <c r="E327" s="45">
        <f t="shared" si="96"/>
        <v>4.4147075776408674E-2</v>
      </c>
      <c r="AC327" s="1">
        <f t="shared" si="114"/>
        <v>46077</v>
      </c>
      <c r="AD327">
        <f>IF(VLOOKUP(AC327,'FOMC exp '!$C$6:$C$22,1)=AC327,MATCH(AC327,'FOMC exp '!$C$6:$C$22,1),AD326)</f>
        <v>8</v>
      </c>
      <c r="AE327" s="18" cm="1">
        <f t="array" ref="AE327">INDEX('FOMC exp '!$C$6:$D$23,AD327,2)</f>
        <v>4.4999999999999998E-2</v>
      </c>
    </row>
    <row r="328" spans="1:31">
      <c r="A328" t="str">
        <f t="shared" si="113"/>
        <v>Wednesday</v>
      </c>
      <c r="B328" s="1">
        <f t="shared" si="115"/>
        <v>46078</v>
      </c>
      <c r="C328" s="45">
        <f>IF(LEFT(A328,1)="S","",VLOOKUP(B328,$AC$4:$AE$734,3)-'Quoting term rates'!$C$4)</f>
        <v>4.3299999999999998E-2</v>
      </c>
      <c r="D328">
        <f t="shared" si="117"/>
        <v>1.0397347793816969</v>
      </c>
      <c r="E328" s="45">
        <f t="shared" si="96"/>
        <v>4.4149754868552105E-2</v>
      </c>
      <c r="AC328" s="1">
        <f t="shared" si="114"/>
        <v>46078</v>
      </c>
      <c r="AD328">
        <f>IF(VLOOKUP(AC328,'FOMC exp '!$C$6:$C$22,1)=AC328,MATCH(AC328,'FOMC exp '!$C$6:$C$22,1),AD327)</f>
        <v>8</v>
      </c>
      <c r="AE328" s="18" cm="1">
        <f t="array" ref="AE328">INDEX('FOMC exp '!$C$6:$D$23,AD328,2)</f>
        <v>4.4999999999999998E-2</v>
      </c>
    </row>
    <row r="329" spans="1:31">
      <c r="A329" t="str">
        <f t="shared" si="113"/>
        <v>Thursday</v>
      </c>
      <c r="B329" s="1">
        <f t="shared" si="115"/>
        <v>46079</v>
      </c>
      <c r="C329" s="45">
        <f>IF(LEFT(A329,1)="S","",VLOOKUP(B329,$AC$4:$AE$734,3)-'Quoting term rates'!$C$4)</f>
        <v>4.3299999999999998E-2</v>
      </c>
      <c r="D329">
        <f t="shared" si="117"/>
        <v>1.0398598363704392</v>
      </c>
      <c r="E329" s="45">
        <f t="shared" si="96"/>
        <v>4.4152434133409593E-2</v>
      </c>
      <c r="AC329" s="1">
        <f t="shared" si="114"/>
        <v>46079</v>
      </c>
      <c r="AD329">
        <f>IF(VLOOKUP(AC329,'FOMC exp '!$C$6:$C$22,1)=AC329,MATCH(AC329,'FOMC exp '!$C$6:$C$22,1),AD328)</f>
        <v>8</v>
      </c>
      <c r="AE329" s="18" cm="1">
        <f t="array" ref="AE329">INDEX('FOMC exp '!$C$6:$D$23,AD329,2)</f>
        <v>4.4999999999999998E-2</v>
      </c>
    </row>
    <row r="330" spans="1:31">
      <c r="A330" t="str">
        <f t="shared" si="113"/>
        <v>Friday</v>
      </c>
      <c r="B330" s="1">
        <f t="shared" si="115"/>
        <v>46080</v>
      </c>
      <c r="C330" s="45">
        <f>IF(LEFT(A330,1)="S","",VLOOKUP(B330,$AC$4:$AE$734,3)-'Quoting term rates'!$C$4)</f>
        <v>4.3299999999999998E-2</v>
      </c>
      <c r="D330">
        <f t="shared" si="117"/>
        <v>1.0399849084007582</v>
      </c>
      <c r="E330" s="45">
        <f t="shared" si="96"/>
        <v>4.4155113571389411E-2</v>
      </c>
      <c r="AC330" s="1">
        <f t="shared" si="114"/>
        <v>46080</v>
      </c>
      <c r="AD330">
        <f>IF(VLOOKUP(AC330,'FOMC exp '!$C$6:$C$22,1)=AC330,MATCH(AC330,'FOMC exp '!$C$6:$C$22,1),AD329)</f>
        <v>8</v>
      </c>
      <c r="AE330" s="18" cm="1">
        <f t="array" ref="AE330">INDEX('FOMC exp '!$C$6:$D$23,AD330,2)</f>
        <v>4.4999999999999998E-2</v>
      </c>
    </row>
    <row r="331" spans="1:31">
      <c r="A331" t="str">
        <f t="shared" si="113"/>
        <v>Saturday</v>
      </c>
      <c r="B331" s="1">
        <f t="shared" si="115"/>
        <v>46081</v>
      </c>
      <c r="C331" s="45" t="str">
        <f>IF(LEFT(A331,1)="S","",VLOOKUP(B331,$AC$4:$AE$734,3)-'Quoting term rates'!$C$4)</f>
        <v/>
      </c>
      <c r="E331" s="45" t="str">
        <f t="shared" si="96"/>
        <v/>
      </c>
      <c r="AC331" s="1">
        <f t="shared" si="114"/>
        <v>46081</v>
      </c>
      <c r="AD331">
        <f>IF(VLOOKUP(AC331,'FOMC exp '!$C$6:$C$22,1)=AC331,MATCH(AC331,'FOMC exp '!$C$6:$C$22,1),AD330)</f>
        <v>8</v>
      </c>
      <c r="AE331" s="18" cm="1">
        <f t="array" ref="AE331">INDEX('FOMC exp '!$C$6:$D$23,AD331,2)</f>
        <v>4.4999999999999998E-2</v>
      </c>
    </row>
    <row r="332" spans="1:31">
      <c r="A332" t="str">
        <f t="shared" si="113"/>
        <v>Sunday</v>
      </c>
      <c r="B332" s="1">
        <f t="shared" si="115"/>
        <v>46082</v>
      </c>
      <c r="C332" s="45" t="str">
        <f>IF(LEFT(A332,1)="S","",VLOOKUP(B332,$AC$4:$AE$734,3)-'Quoting term rates'!$C$4)</f>
        <v/>
      </c>
      <c r="E332" s="45" t="str">
        <f t="shared" ref="E332:E368" si="118">IF((D332-1)*360/(B332-$B$4)&lt;0,"",(D332-1)*360/(B332-$B$4))</f>
        <v/>
      </c>
      <c r="AC332" s="1">
        <f t="shared" si="114"/>
        <v>46082</v>
      </c>
      <c r="AD332">
        <f>IF(VLOOKUP(AC332,'FOMC exp '!$C$6:$C$22,1)=AC332,MATCH(AC332,'FOMC exp '!$C$6:$C$22,1),AD331)</f>
        <v>8</v>
      </c>
      <c r="AE332" s="18" cm="1">
        <f t="array" ref="AE332">INDEX('FOMC exp '!$C$6:$D$23,AD332,2)</f>
        <v>4.4999999999999998E-2</v>
      </c>
    </row>
    <row r="333" spans="1:31">
      <c r="A333" t="str">
        <f t="shared" si="113"/>
        <v>Monday</v>
      </c>
      <c r="B333" s="1">
        <f t="shared" si="115"/>
        <v>46083</v>
      </c>
      <c r="C333" s="45">
        <f>IF(LEFT(A333,1)="S","",VLOOKUP(B333,$AC$4:$AE$734,3)-'Quoting term rates'!$C$4)</f>
        <v>4.3299999999999998E-2</v>
      </c>
      <c r="D333">
        <f t="shared" ref="D333" si="119">D330*(1+C330*3/360)</f>
        <v>1.0403601696218727</v>
      </c>
      <c r="E333" s="45">
        <f t="shared" si="118"/>
        <v>4.4163103537611485E-2</v>
      </c>
      <c r="AC333" s="1">
        <f t="shared" si="114"/>
        <v>46083</v>
      </c>
      <c r="AD333">
        <f>IF(VLOOKUP(AC333,'FOMC exp '!$C$6:$C$22,1)=AC333,MATCH(AC333,'FOMC exp '!$C$6:$C$22,1),AD332)</f>
        <v>8</v>
      </c>
      <c r="AE333" s="18" cm="1">
        <f t="array" ref="AE333">INDEX('FOMC exp '!$C$6:$D$23,AD333,2)</f>
        <v>4.4999999999999998E-2</v>
      </c>
    </row>
    <row r="334" spans="1:31">
      <c r="A334" t="str">
        <f t="shared" si="113"/>
        <v>Tuesday</v>
      </c>
      <c r="B334" s="1">
        <f t="shared" si="115"/>
        <v>46084</v>
      </c>
      <c r="C334" s="45">
        <f>IF(LEFT(A334,1)="S","",VLOOKUP(B334,$AC$4:$AE$734,3)-'Quoting term rates'!$C$4)</f>
        <v>4.3299999999999998E-2</v>
      </c>
      <c r="D334">
        <f t="shared" ref="D334" si="120">D333*(1+C333*1/360)</f>
        <v>1.0404853018311633</v>
      </c>
      <c r="E334" s="45">
        <f t="shared" si="118"/>
        <v>4.4165783815814486E-2</v>
      </c>
      <c r="AC334" s="1">
        <f t="shared" si="114"/>
        <v>46084</v>
      </c>
      <c r="AD334">
        <f>IF(VLOOKUP(AC334,'FOMC exp '!$C$6:$C$22,1)=AC334,MATCH(AC334,'FOMC exp '!$C$6:$C$22,1),AD333)</f>
        <v>8</v>
      </c>
      <c r="AE334" s="18" cm="1">
        <f t="array" ref="AE334">INDEX('FOMC exp '!$C$6:$D$23,AD334,2)</f>
        <v>4.4999999999999998E-2</v>
      </c>
    </row>
    <row r="335" spans="1:31">
      <c r="A335" t="str">
        <f t="shared" si="113"/>
        <v>Wednesday</v>
      </c>
      <c r="B335" s="1">
        <f t="shared" si="115"/>
        <v>46085</v>
      </c>
      <c r="C335" s="45">
        <f>IF(LEFT(A335,1)="S","",VLOOKUP(B335,$AC$4:$AE$734,3)-'Quoting term rates'!$C$4)</f>
        <v>4.3299999999999998E-2</v>
      </c>
      <c r="D335">
        <f t="shared" si="117"/>
        <v>1.0406104490910779</v>
      </c>
      <c r="E335" s="45">
        <f t="shared" si="118"/>
        <v>4.4168464268241843E-2</v>
      </c>
      <c r="AC335" s="1">
        <f t="shared" si="114"/>
        <v>46085</v>
      </c>
      <c r="AD335">
        <f>IF(VLOOKUP(AC335,'FOMC exp '!$C$6:$C$22,1)=AC335,MATCH(AC335,'FOMC exp '!$C$6:$C$22,1),AD334)</f>
        <v>8</v>
      </c>
      <c r="AE335" s="18" cm="1">
        <f t="array" ref="AE335">INDEX('FOMC exp '!$C$6:$D$23,AD335,2)</f>
        <v>4.4999999999999998E-2</v>
      </c>
    </row>
    <row r="336" spans="1:31">
      <c r="A336" t="str">
        <f t="shared" si="113"/>
        <v>Thursday</v>
      </c>
      <c r="B336" s="1">
        <f t="shared" si="115"/>
        <v>46086</v>
      </c>
      <c r="C336" s="45">
        <f>IF(LEFT(A336,1)="S","",VLOOKUP(B336,$AC$4:$AE$734,3)-'Quoting term rates'!$C$4)</f>
        <v>4.3299999999999998E-2</v>
      </c>
      <c r="D336">
        <f t="shared" si="117"/>
        <v>1.040735611403427</v>
      </c>
      <c r="E336" s="45">
        <f t="shared" si="118"/>
        <v>4.4171144895282247E-2</v>
      </c>
      <c r="AC336" s="1">
        <f t="shared" si="114"/>
        <v>46086</v>
      </c>
      <c r="AD336">
        <f>IF(VLOOKUP(AC336,'FOMC exp '!$C$6:$C$22,1)=AC336,MATCH(AC336,'FOMC exp '!$C$6:$C$22,1),AD335)</f>
        <v>8</v>
      </c>
      <c r="AE336" s="18" cm="1">
        <f t="array" ref="AE336">INDEX('FOMC exp '!$C$6:$D$23,AD336,2)</f>
        <v>4.4999999999999998E-2</v>
      </c>
    </row>
    <row r="337" spans="1:31">
      <c r="A337" t="str">
        <f t="shared" si="113"/>
        <v>Friday</v>
      </c>
      <c r="B337" s="1">
        <f t="shared" si="115"/>
        <v>46087</v>
      </c>
      <c r="C337" s="45">
        <f>IF(LEFT(A337,1)="S","",VLOOKUP(B337,$AC$4:$AE$734,3)-'Quoting term rates'!$C$4)</f>
        <v>4.3299999999999998E-2</v>
      </c>
      <c r="D337">
        <f t="shared" si="117"/>
        <v>1.0408607887700208</v>
      </c>
      <c r="E337" s="45">
        <f t="shared" si="118"/>
        <v>4.417382569731973E-2</v>
      </c>
      <c r="AC337" s="1">
        <f t="shared" si="114"/>
        <v>46087</v>
      </c>
      <c r="AD337">
        <f>IF(VLOOKUP(AC337,'FOMC exp '!$C$6:$C$22,1)=AC337,MATCH(AC337,'FOMC exp '!$C$6:$C$22,1),AD336)</f>
        <v>8</v>
      </c>
      <c r="AE337" s="18" cm="1">
        <f t="array" ref="AE337">INDEX('FOMC exp '!$C$6:$D$23,AD337,2)</f>
        <v>4.4999999999999998E-2</v>
      </c>
    </row>
    <row r="338" spans="1:31">
      <c r="A338" t="str">
        <f t="shared" si="113"/>
        <v>Saturday</v>
      </c>
      <c r="B338" s="1">
        <f t="shared" si="115"/>
        <v>46088</v>
      </c>
      <c r="C338" s="45" t="str">
        <f>IF(LEFT(A338,1)="S","",VLOOKUP(B338,$AC$4:$AE$734,3)-'Quoting term rates'!$C$4)</f>
        <v/>
      </c>
      <c r="E338" s="45" t="str">
        <f t="shared" si="118"/>
        <v/>
      </c>
      <c r="AC338" s="1">
        <f t="shared" si="114"/>
        <v>46088</v>
      </c>
      <c r="AD338">
        <f>IF(VLOOKUP(AC338,'FOMC exp '!$C$6:$C$22,1)=AC338,MATCH(AC338,'FOMC exp '!$C$6:$C$22,1),AD337)</f>
        <v>8</v>
      </c>
      <c r="AE338" s="18" cm="1">
        <f t="array" ref="AE338">INDEX('FOMC exp '!$C$6:$D$23,AD338,2)</f>
        <v>4.4999999999999998E-2</v>
      </c>
    </row>
    <row r="339" spans="1:31">
      <c r="A339" t="str">
        <f t="shared" si="113"/>
        <v>Sunday</v>
      </c>
      <c r="B339" s="1">
        <f t="shared" si="115"/>
        <v>46089</v>
      </c>
      <c r="C339" s="45" t="str">
        <f>IF(LEFT(A339,1)="S","",VLOOKUP(B339,$AC$4:$AE$734,3)-'Quoting term rates'!$C$4)</f>
        <v/>
      </c>
      <c r="E339" s="45" t="str">
        <f t="shared" si="118"/>
        <v/>
      </c>
      <c r="AC339" s="1">
        <f t="shared" si="114"/>
        <v>46089</v>
      </c>
      <c r="AD339">
        <f>IF(VLOOKUP(AC339,'FOMC exp '!$C$6:$C$22,1)=AC339,MATCH(AC339,'FOMC exp '!$C$6:$C$22,1),AD338)</f>
        <v>8</v>
      </c>
      <c r="AE339" s="18" cm="1">
        <f t="array" ref="AE339">INDEX('FOMC exp '!$C$6:$D$23,AD339,2)</f>
        <v>4.4999999999999998E-2</v>
      </c>
    </row>
    <row r="340" spans="1:31">
      <c r="A340" t="str">
        <f t="shared" si="113"/>
        <v>Monday</v>
      </c>
      <c r="B340" s="1">
        <f t="shared" si="115"/>
        <v>46090</v>
      </c>
      <c r="C340" s="45">
        <f>IF(LEFT(A340,1)="S","",VLOOKUP(B340,$AC$4:$AE$734,3)-'Quoting term rates'!$C$4)</f>
        <v>4.3299999999999998E-2</v>
      </c>
      <c r="D340">
        <f t="shared" ref="D340" si="121">D337*(1+C337*3/360)</f>
        <v>1.0412363660379687</v>
      </c>
      <c r="E340" s="45">
        <f t="shared" si="118"/>
        <v>4.4181820754966412E-2</v>
      </c>
      <c r="AC340" s="1">
        <f t="shared" si="114"/>
        <v>46090</v>
      </c>
      <c r="AD340">
        <f>IF(VLOOKUP(AC340,'FOMC exp '!$C$6:$C$22,1)=AC340,MATCH(AC340,'FOMC exp '!$C$6:$C$22,1),AD339)</f>
        <v>8</v>
      </c>
      <c r="AE340" s="18" cm="1">
        <f t="array" ref="AE340">INDEX('FOMC exp '!$C$6:$D$23,AD340,2)</f>
        <v>4.4999999999999998E-2</v>
      </c>
    </row>
    <row r="341" spans="1:31">
      <c r="A341" t="str">
        <f t="shared" si="113"/>
        <v>Tuesday</v>
      </c>
      <c r="B341" s="1">
        <f t="shared" si="115"/>
        <v>46091</v>
      </c>
      <c r="C341" s="45">
        <f>IF(LEFT(A341,1)="S","",VLOOKUP(B341,$AC$4:$AE$734,3)-'Quoting term rates'!$C$4)</f>
        <v>4.3299999999999998E-2</v>
      </c>
      <c r="D341">
        <f t="shared" ref="D341" si="122">D340*(1+C340*1/360)</f>
        <v>1.041361603634217</v>
      </c>
      <c r="E341" s="45">
        <f t="shared" si="118"/>
        <v>4.4184502398570129E-2</v>
      </c>
      <c r="AC341" s="1">
        <f t="shared" si="114"/>
        <v>46091</v>
      </c>
      <c r="AD341">
        <f>IF(VLOOKUP(AC341,'FOMC exp '!$C$6:$C$22,1)=AC341,MATCH(AC341,'FOMC exp '!$C$6:$C$22,1),AD340)</f>
        <v>8</v>
      </c>
      <c r="AE341" s="18" cm="1">
        <f t="array" ref="AE341">INDEX('FOMC exp '!$C$6:$D$23,AD341,2)</f>
        <v>4.4999999999999998E-2</v>
      </c>
    </row>
    <row r="342" spans="1:31">
      <c r="A342" t="str">
        <f t="shared" si="113"/>
        <v>Wednesday</v>
      </c>
      <c r="B342" s="1">
        <f t="shared" si="115"/>
        <v>46092</v>
      </c>
      <c r="C342" s="45">
        <f>IF(LEFT(A342,1)="S","",VLOOKUP(B342,$AC$4:$AE$734,3)-'Quoting term rates'!$C$4)</f>
        <v>4.3299999999999998E-2</v>
      </c>
      <c r="D342">
        <f t="shared" si="117"/>
        <v>1.0414868562937654</v>
      </c>
      <c r="E342" s="45">
        <f t="shared" si="118"/>
        <v>4.4187184218211627E-2</v>
      </c>
      <c r="AC342" s="1">
        <f t="shared" si="114"/>
        <v>46092</v>
      </c>
      <c r="AD342">
        <f>IF(VLOOKUP(AC342,'FOMC exp '!$C$6:$C$22,1)=AC342,MATCH(AC342,'FOMC exp '!$C$6:$C$22,1),AD341)</f>
        <v>8</v>
      </c>
      <c r="AE342" s="18" cm="1">
        <f t="array" ref="AE342">INDEX('FOMC exp '!$C$6:$D$23,AD342,2)</f>
        <v>4.4999999999999998E-2</v>
      </c>
    </row>
    <row r="343" spans="1:31">
      <c r="A343" t="str">
        <f t="shared" si="113"/>
        <v>Thursday</v>
      </c>
      <c r="B343" s="1">
        <f t="shared" si="115"/>
        <v>46093</v>
      </c>
      <c r="C343" s="45">
        <f>IF(LEFT(A343,1)="S","",VLOOKUP(B343,$AC$4:$AE$734,3)-'Quoting term rates'!$C$4)</f>
        <v>4.3299999999999998E-2</v>
      </c>
      <c r="D343">
        <f t="shared" si="117"/>
        <v>1.0416121240184251</v>
      </c>
      <c r="E343" s="45">
        <f t="shared" si="118"/>
        <v>4.4189866214256711E-2</v>
      </c>
      <c r="AC343" s="1">
        <f t="shared" si="114"/>
        <v>46093</v>
      </c>
      <c r="AD343">
        <f>IF(VLOOKUP(AC343,'FOMC exp '!$C$6:$C$22,1)=AC343,MATCH(AC343,'FOMC exp '!$C$6:$C$22,1),AD342)</f>
        <v>8</v>
      </c>
      <c r="AE343" s="18" cm="1">
        <f t="array" ref="AE343">INDEX('FOMC exp '!$C$6:$D$23,AD343,2)</f>
        <v>4.4999999999999998E-2</v>
      </c>
    </row>
    <row r="344" spans="1:31">
      <c r="A344" t="str">
        <f t="shared" si="113"/>
        <v>Friday</v>
      </c>
      <c r="B344" s="1">
        <f t="shared" si="115"/>
        <v>46094</v>
      </c>
      <c r="C344" s="45">
        <f>IF(LEFT(A344,1)="S","",VLOOKUP(B344,$AC$4:$AE$734,3)-'Quoting term rates'!$C$4)</f>
        <v>4.3299999999999998E-2</v>
      </c>
      <c r="D344">
        <f t="shared" si="117"/>
        <v>1.0417374068100085</v>
      </c>
      <c r="E344" s="45">
        <f t="shared" si="118"/>
        <v>4.4192548387067807E-2</v>
      </c>
      <c r="AC344" s="1">
        <f t="shared" si="114"/>
        <v>46094</v>
      </c>
      <c r="AD344">
        <f>IF(VLOOKUP(AC344,'FOMC exp '!$C$6:$C$22,1)=AC344,MATCH(AC344,'FOMC exp '!$C$6:$C$22,1),AD343)</f>
        <v>8</v>
      </c>
      <c r="AE344" s="18" cm="1">
        <f t="array" ref="AE344">INDEX('FOMC exp '!$C$6:$D$23,AD344,2)</f>
        <v>4.4999999999999998E-2</v>
      </c>
    </row>
    <row r="345" spans="1:31">
      <c r="A345" t="str">
        <f t="shared" si="113"/>
        <v>Saturday</v>
      </c>
      <c r="B345" s="1">
        <f t="shared" si="115"/>
        <v>46095</v>
      </c>
      <c r="C345" s="45" t="str">
        <f>IF(LEFT(A345,1)="S","",VLOOKUP(B345,$AC$4:$AE$734,3)-'Quoting term rates'!$C$4)</f>
        <v/>
      </c>
      <c r="E345" s="45" t="str">
        <f t="shared" si="118"/>
        <v/>
      </c>
      <c r="AC345" s="1">
        <f t="shared" si="114"/>
        <v>46095</v>
      </c>
      <c r="AD345">
        <f>IF(VLOOKUP(AC345,'FOMC exp '!$C$6:$C$22,1)=AC345,MATCH(AC345,'FOMC exp '!$C$6:$C$22,1),AD344)</f>
        <v>8</v>
      </c>
      <c r="AE345" s="18" cm="1">
        <f t="array" ref="AE345">INDEX('FOMC exp '!$C$6:$D$23,AD345,2)</f>
        <v>4.4999999999999998E-2</v>
      </c>
    </row>
    <row r="346" spans="1:31">
      <c r="A346" t="str">
        <f t="shared" si="113"/>
        <v>Sunday</v>
      </c>
      <c r="B346" s="1">
        <f t="shared" si="115"/>
        <v>46096</v>
      </c>
      <c r="C346" s="45" t="str">
        <f>IF(LEFT(A346,1)="S","",VLOOKUP(B346,$AC$4:$AE$734,3)-'Quoting term rates'!$C$4)</f>
        <v/>
      </c>
      <c r="E346" s="45" t="str">
        <f t="shared" si="118"/>
        <v/>
      </c>
      <c r="AC346" s="1">
        <f t="shared" si="114"/>
        <v>46096</v>
      </c>
      <c r="AD346">
        <f>IF(VLOOKUP(AC346,'FOMC exp '!$C$6:$C$22,1)=AC346,MATCH(AC346,'FOMC exp '!$C$6:$C$22,1),AD345)</f>
        <v>8</v>
      </c>
      <c r="AE346" s="18" cm="1">
        <f t="array" ref="AE346">INDEX('FOMC exp '!$C$6:$D$23,AD346,2)</f>
        <v>4.4999999999999998E-2</v>
      </c>
    </row>
    <row r="347" spans="1:31">
      <c r="A347" t="str">
        <f t="shared" si="113"/>
        <v>Monday</v>
      </c>
      <c r="B347" s="1">
        <f t="shared" si="115"/>
        <v>46097</v>
      </c>
      <c r="C347" s="45">
        <f>IF(LEFT(A347,1)="S","",VLOOKUP(B347,$AC$4:$AE$734,3)-'Quoting term rates'!$C$4)</f>
        <v>4.3299999999999998E-2</v>
      </c>
      <c r="D347">
        <f t="shared" ref="D347" si="123">D344*(1+C344*3/360)</f>
        <v>1.0421133003909657</v>
      </c>
      <c r="E347" s="45">
        <f t="shared" si="118"/>
        <v>4.4200548515299302E-2</v>
      </c>
      <c r="AC347" s="1">
        <f t="shared" si="114"/>
        <v>46097</v>
      </c>
      <c r="AD347">
        <f>IF(VLOOKUP(AC347,'FOMC exp '!$C$6:$C$22,1)=AC347,MATCH(AC347,'FOMC exp '!$C$6:$C$22,1),AD346)</f>
        <v>8</v>
      </c>
      <c r="AE347" s="18" cm="1">
        <f t="array" ref="AE347">INDEX('FOMC exp '!$C$6:$D$23,AD347,2)</f>
        <v>4.4999999999999998E-2</v>
      </c>
    </row>
    <row r="348" spans="1:31">
      <c r="A348" t="str">
        <f t="shared" si="113"/>
        <v>Tuesday</v>
      </c>
      <c r="B348" s="1">
        <f t="shared" si="115"/>
        <v>46098</v>
      </c>
      <c r="C348" s="45">
        <f>IF(LEFT(A348,1)="S","",VLOOKUP(B348,$AC$4:$AE$734,3)-'Quoting term rates'!$C$4)</f>
        <v>4.3299999999999998E-2</v>
      </c>
      <c r="D348">
        <f t="shared" ref="D348" si="124">D347*(1+C347*1/360)</f>
        <v>1.0422386434629294</v>
      </c>
      <c r="E348" s="45">
        <f t="shared" si="118"/>
        <v>4.4203231530972609E-2</v>
      </c>
      <c r="AC348" s="1">
        <f t="shared" si="114"/>
        <v>46098</v>
      </c>
      <c r="AD348">
        <f>IF(VLOOKUP(AC348,'FOMC exp '!$C$6:$C$22,1)=AC348,MATCH(AC348,'FOMC exp '!$C$6:$C$22,1),AD347)</f>
        <v>8</v>
      </c>
      <c r="AE348" s="18" cm="1">
        <f t="array" ref="AE348">INDEX('FOMC exp '!$C$6:$D$23,AD348,2)</f>
        <v>4.4999999999999998E-2</v>
      </c>
    </row>
    <row r="349" spans="1:31">
      <c r="A349" t="str">
        <f t="shared" si="113"/>
        <v>Wednesday</v>
      </c>
      <c r="B349" s="1">
        <f t="shared" si="115"/>
        <v>46099</v>
      </c>
      <c r="C349" s="45">
        <f>IF(LEFT(A349,1)="S","",VLOOKUP(B349,$AC$4:$AE$734,3)-'Quoting term rates'!$C$4)</f>
        <v>4.3299999999999998E-2</v>
      </c>
      <c r="D349">
        <f t="shared" si="117"/>
        <v>1.0423640016108793</v>
      </c>
      <c r="E349" s="45">
        <f t="shared" si="118"/>
        <v>4.4205914724395765E-2</v>
      </c>
      <c r="AC349" s="1">
        <f t="shared" si="114"/>
        <v>46099</v>
      </c>
      <c r="AD349">
        <f>IF(VLOOKUP(AC349,'FOMC exp '!$C$6:$C$22,1)=AC349,MATCH(AC349,'FOMC exp '!$C$6:$C$22,1),AD348)</f>
        <v>9</v>
      </c>
      <c r="AE349" s="18" cm="1">
        <f t="array" ref="AE349">INDEX('FOMC exp '!$C$6:$D$23,AD349,2)</f>
        <v>4.4999999999999998E-2</v>
      </c>
    </row>
    <row r="350" spans="1:31">
      <c r="A350" t="str">
        <f t="shared" si="113"/>
        <v>Thursday</v>
      </c>
      <c r="B350" s="1">
        <f t="shared" si="115"/>
        <v>46100</v>
      </c>
      <c r="C350" s="45">
        <f>IF(LEFT(A350,1)="S","",VLOOKUP(B350,$AC$4:$AE$734,3)-'Quoting term rates'!$C$4)</f>
        <v>4.3299999999999998E-2</v>
      </c>
      <c r="D350">
        <f t="shared" si="117"/>
        <v>1.0424893748366286</v>
      </c>
      <c r="E350" s="45">
        <f t="shared" si="118"/>
        <v>4.4208598095914174E-2</v>
      </c>
      <c r="AC350" s="1">
        <f t="shared" si="114"/>
        <v>46100</v>
      </c>
      <c r="AD350">
        <f>IF(VLOOKUP(AC350,'FOMC exp '!$C$6:$C$22,1)=AC350,MATCH(AC350,'FOMC exp '!$C$6:$C$22,1),AD349)</f>
        <v>9</v>
      </c>
      <c r="AE350" s="18" cm="1">
        <f t="array" ref="AE350">INDEX('FOMC exp '!$C$6:$D$23,AD350,2)</f>
        <v>4.4999999999999998E-2</v>
      </c>
    </row>
    <row r="351" spans="1:31">
      <c r="A351" t="str">
        <f t="shared" si="113"/>
        <v>Friday</v>
      </c>
      <c r="B351" s="1">
        <f t="shared" si="115"/>
        <v>46101</v>
      </c>
      <c r="C351" s="45">
        <f>IF(LEFT(A351,1)="S","",VLOOKUP(B351,$AC$4:$AE$734,3)-'Quoting term rates'!$C$4)</f>
        <v>4.3299999999999998E-2</v>
      </c>
      <c r="D351">
        <f t="shared" si="117"/>
        <v>1.0426147631419909</v>
      </c>
      <c r="E351" s="45">
        <f t="shared" si="118"/>
        <v>4.4211281645869481E-2</v>
      </c>
      <c r="AC351" s="1">
        <f t="shared" si="114"/>
        <v>46101</v>
      </c>
      <c r="AD351">
        <f>IF(VLOOKUP(AC351,'FOMC exp '!$C$6:$C$22,1)=AC351,MATCH(AC351,'FOMC exp '!$C$6:$C$22,1),AD350)</f>
        <v>9</v>
      </c>
      <c r="AE351" s="18" cm="1">
        <f t="array" ref="AE351">INDEX('FOMC exp '!$C$6:$D$23,AD351,2)</f>
        <v>4.4999999999999998E-2</v>
      </c>
    </row>
    <row r="352" spans="1:31">
      <c r="A352" t="str">
        <f t="shared" si="113"/>
        <v>Saturday</v>
      </c>
      <c r="B352" s="1">
        <f t="shared" si="115"/>
        <v>46102</v>
      </c>
      <c r="C352" s="45" t="str">
        <f>IF(LEFT(A352,1)="S","",VLOOKUP(B352,$AC$4:$AE$734,3)-'Quoting term rates'!$C$4)</f>
        <v/>
      </c>
      <c r="E352" s="45" t="str">
        <f t="shared" si="118"/>
        <v/>
      </c>
      <c r="AC352" s="1">
        <f t="shared" si="114"/>
        <v>46102</v>
      </c>
      <c r="AD352">
        <f>IF(VLOOKUP(AC352,'FOMC exp '!$C$6:$C$22,1)=AC352,MATCH(AC352,'FOMC exp '!$C$6:$C$22,1),AD351)</f>
        <v>9</v>
      </c>
      <c r="AE352" s="18" cm="1">
        <f t="array" ref="AE352">INDEX('FOMC exp '!$C$6:$D$23,AD352,2)</f>
        <v>4.4999999999999998E-2</v>
      </c>
    </row>
    <row r="353" spans="1:31">
      <c r="A353" t="str">
        <f t="shared" si="113"/>
        <v>Sunday</v>
      </c>
      <c r="B353" s="1">
        <f t="shared" si="115"/>
        <v>46103</v>
      </c>
      <c r="C353" s="45" t="str">
        <f>IF(LEFT(A353,1)="S","",VLOOKUP(B353,$AC$4:$AE$734,3)-'Quoting term rates'!$C$4)</f>
        <v/>
      </c>
      <c r="E353" s="45" t="str">
        <f t="shared" si="118"/>
        <v/>
      </c>
      <c r="AC353" s="1">
        <f t="shared" si="114"/>
        <v>46103</v>
      </c>
      <c r="AD353">
        <f>IF(VLOOKUP(AC353,'FOMC exp '!$C$6:$C$22,1)=AC353,MATCH(AC353,'FOMC exp '!$C$6:$C$22,1),AD352)</f>
        <v>9</v>
      </c>
      <c r="AE353" s="18" cm="1">
        <f t="array" ref="AE353">INDEX('FOMC exp '!$C$6:$D$23,AD353,2)</f>
        <v>4.4999999999999998E-2</v>
      </c>
    </row>
    <row r="354" spans="1:31">
      <c r="A354" t="str">
        <f t="shared" si="113"/>
        <v>Monday</v>
      </c>
      <c r="B354" s="1">
        <f t="shared" si="115"/>
        <v>46104</v>
      </c>
      <c r="C354" s="45">
        <f>IF(LEFT(A354,1)="S","",VLOOKUP(B354,$AC$4:$AE$734,3)-'Quoting term rates'!$C$4)</f>
        <v>4.3299999999999998E-2</v>
      </c>
      <c r="D354">
        <f t="shared" ref="D354" si="125">D351*(1+C351*3/360)</f>
        <v>1.0429909733023579</v>
      </c>
      <c r="E354" s="45">
        <f t="shared" si="118"/>
        <v>4.4219286825282415E-2</v>
      </c>
      <c r="AC354" s="1">
        <f t="shared" si="114"/>
        <v>46104</v>
      </c>
      <c r="AD354">
        <f>IF(VLOOKUP(AC354,'FOMC exp '!$C$6:$C$22,1)=AC354,MATCH(AC354,'FOMC exp '!$C$6:$C$22,1),AD353)</f>
        <v>9</v>
      </c>
      <c r="AE354" s="18" cm="1">
        <f t="array" ref="AE354">INDEX('FOMC exp '!$C$6:$D$23,AD354,2)</f>
        <v>4.4999999999999998E-2</v>
      </c>
    </row>
    <row r="355" spans="1:31">
      <c r="A355" t="str">
        <f t="shared" si="113"/>
        <v>Tuesday</v>
      </c>
      <c r="B355" s="1">
        <f t="shared" si="115"/>
        <v>46105</v>
      </c>
      <c r="C355" s="45">
        <f>IF(LEFT(A355,1)="S","",VLOOKUP(B355,$AC$4:$AE$734,3)-'Quoting term rates'!$C$4)</f>
        <v>4.3299999999999998E-2</v>
      </c>
      <c r="D355">
        <f t="shared" ref="D355" si="126">D354*(1+C354*1/360)</f>
        <v>1.0431164219388691</v>
      </c>
      <c r="E355" s="45">
        <f t="shared" si="118"/>
        <v>4.422197121935293E-2</v>
      </c>
      <c r="AC355" s="1">
        <f t="shared" si="114"/>
        <v>46105</v>
      </c>
      <c r="AD355">
        <f>IF(VLOOKUP(AC355,'FOMC exp '!$C$6:$C$22,1)=AC355,MATCH(AC355,'FOMC exp '!$C$6:$C$22,1),AD354)</f>
        <v>9</v>
      </c>
      <c r="AE355" s="18" cm="1">
        <f t="array" ref="AE355">INDEX('FOMC exp '!$C$6:$D$23,AD355,2)</f>
        <v>4.4999999999999998E-2</v>
      </c>
    </row>
    <row r="356" spans="1:31">
      <c r="A356" t="str">
        <f t="shared" si="113"/>
        <v>Wednesday</v>
      </c>
      <c r="B356" s="1">
        <f t="shared" si="115"/>
        <v>46106</v>
      </c>
      <c r="C356" s="45">
        <f>IF(LEFT(A356,1)="S","",VLOOKUP(B356,$AC$4:$AE$734,3)-'Quoting term rates'!$C$4)</f>
        <v>4.3299999999999998E-2</v>
      </c>
      <c r="D356">
        <f t="shared" si="117"/>
        <v>1.0432418856640635</v>
      </c>
      <c r="E356" s="45">
        <f t="shared" si="118"/>
        <v>4.4224655792792222E-2</v>
      </c>
      <c r="AC356" s="1">
        <f t="shared" si="114"/>
        <v>46106</v>
      </c>
      <c r="AD356">
        <f>IF(VLOOKUP(AC356,'FOMC exp '!$C$6:$C$22,1)=AC356,MATCH(AC356,'FOMC exp '!$C$6:$C$22,1),AD355)</f>
        <v>9</v>
      </c>
      <c r="AE356" s="18" cm="1">
        <f t="array" ref="AE356">INDEX('FOMC exp '!$C$6:$D$23,AD356,2)</f>
        <v>4.4999999999999998E-2</v>
      </c>
    </row>
    <row r="357" spans="1:31">
      <c r="A357" t="str">
        <f t="shared" si="113"/>
        <v>Thursday</v>
      </c>
      <c r="B357" s="1">
        <f t="shared" si="115"/>
        <v>46107</v>
      </c>
      <c r="C357" s="45">
        <f>IF(LEFT(A357,1)="S","",VLOOKUP(B357,$AC$4:$AE$734,3)-'Quoting term rates'!$C$4)</f>
        <v>4.3299999999999998E-2</v>
      </c>
      <c r="D357">
        <f t="shared" si="117"/>
        <v>1.0433673644797559</v>
      </c>
      <c r="E357" s="45">
        <f t="shared" si="118"/>
        <v>4.4227340545926662E-2</v>
      </c>
      <c r="AC357" s="1">
        <f t="shared" si="114"/>
        <v>46107</v>
      </c>
      <c r="AD357">
        <f>IF(VLOOKUP(AC357,'FOMC exp '!$C$6:$C$22,1)=AC357,MATCH(AC357,'FOMC exp '!$C$6:$C$22,1),AD356)</f>
        <v>9</v>
      </c>
      <c r="AE357" s="18" cm="1">
        <f t="array" ref="AE357">INDEX('FOMC exp '!$C$6:$D$23,AD357,2)</f>
        <v>4.4999999999999998E-2</v>
      </c>
    </row>
    <row r="358" spans="1:31">
      <c r="A358" t="str">
        <f t="shared" si="113"/>
        <v>Friday</v>
      </c>
      <c r="B358" s="1">
        <f t="shared" si="115"/>
        <v>46108</v>
      </c>
      <c r="C358" s="45">
        <f>IF(LEFT(A358,1)="S","",VLOOKUP(B358,$AC$4:$AE$734,3)-'Quoting term rates'!$C$4)</f>
        <v>4.3299999999999998E-2</v>
      </c>
      <c r="D358">
        <f t="shared" si="117"/>
        <v>1.0434928583877614</v>
      </c>
      <c r="E358" s="45">
        <f t="shared" si="118"/>
        <v>4.4230025479079393E-2</v>
      </c>
      <c r="AC358" s="1">
        <f t="shared" si="114"/>
        <v>46108</v>
      </c>
      <c r="AD358">
        <f>IF(VLOOKUP(AC358,'FOMC exp '!$C$6:$C$22,1)=AC358,MATCH(AC358,'FOMC exp '!$C$6:$C$22,1),AD357)</f>
        <v>9</v>
      </c>
      <c r="AE358" s="18" cm="1">
        <f t="array" ref="AE358">INDEX('FOMC exp '!$C$6:$D$23,AD358,2)</f>
        <v>4.4999999999999998E-2</v>
      </c>
    </row>
    <row r="359" spans="1:31">
      <c r="A359" t="str">
        <f t="shared" si="113"/>
        <v>Saturday</v>
      </c>
      <c r="B359" s="1">
        <f t="shared" si="115"/>
        <v>46109</v>
      </c>
      <c r="C359" s="45" t="str">
        <f>IF(LEFT(A359,1)="S","",VLOOKUP(B359,$AC$4:$AE$734,3)-'Quoting term rates'!$C$4)</f>
        <v/>
      </c>
      <c r="E359" s="45" t="str">
        <f t="shared" si="118"/>
        <v/>
      </c>
      <c r="AC359" s="1">
        <f t="shared" si="114"/>
        <v>46109</v>
      </c>
      <c r="AD359">
        <f>IF(VLOOKUP(AC359,'FOMC exp '!$C$6:$C$22,1)=AC359,MATCH(AC359,'FOMC exp '!$C$6:$C$22,1),AD358)</f>
        <v>9</v>
      </c>
      <c r="AE359" s="18" cm="1">
        <f t="array" ref="AE359">INDEX('FOMC exp '!$C$6:$D$23,AD359,2)</f>
        <v>4.4999999999999998E-2</v>
      </c>
    </row>
    <row r="360" spans="1:31">
      <c r="A360" t="str">
        <f t="shared" si="113"/>
        <v>Sunday</v>
      </c>
      <c r="B360" s="1">
        <f t="shared" si="115"/>
        <v>46110</v>
      </c>
      <c r="C360" s="45" t="str">
        <f>IF(LEFT(A360,1)="S","",VLOOKUP(B360,$AC$4:$AE$734,3)-'Quoting term rates'!$C$4)</f>
        <v/>
      </c>
      <c r="E360" s="45" t="str">
        <f t="shared" si="118"/>
        <v/>
      </c>
      <c r="AC360" s="1">
        <f t="shared" si="114"/>
        <v>46110</v>
      </c>
      <c r="AD360">
        <f>IF(VLOOKUP(AC360,'FOMC exp '!$C$6:$C$22,1)=AC360,MATCH(AC360,'FOMC exp '!$C$6:$C$22,1),AD359)</f>
        <v>9</v>
      </c>
      <c r="AE360" s="18" cm="1">
        <f t="array" ref="AE360">INDEX('FOMC exp '!$C$6:$D$23,AD360,2)</f>
        <v>4.4999999999999998E-2</v>
      </c>
    </row>
    <row r="361" spans="1:31">
      <c r="A361" t="str">
        <f t="shared" si="113"/>
        <v>Monday</v>
      </c>
      <c r="B361" s="1">
        <f t="shared" si="115"/>
        <v>46111</v>
      </c>
      <c r="C361" s="45">
        <f>IF(LEFT(A361,1)="S","",VLOOKUP(B361,$AC$4:$AE$734,3)-'Quoting term rates'!$C$4)</f>
        <v>4.3299999999999998E-2</v>
      </c>
      <c r="D361">
        <f t="shared" ref="D361" si="127">D358*(1+C358*3/360)</f>
        <v>1.043869385394163</v>
      </c>
      <c r="E361" s="45">
        <f t="shared" si="118"/>
        <v>4.4238035691592903E-2</v>
      </c>
      <c r="AC361" s="1">
        <f t="shared" si="114"/>
        <v>46111</v>
      </c>
      <c r="AD361">
        <f>IF(VLOOKUP(AC361,'FOMC exp '!$C$6:$C$22,1)=AC361,MATCH(AC361,'FOMC exp '!$C$6:$C$22,1),AD360)</f>
        <v>9</v>
      </c>
      <c r="AE361" s="18" cm="1">
        <f t="array" ref="AE361">INDEX('FOMC exp '!$C$6:$D$23,AD361,2)</f>
        <v>4.4999999999999998E-2</v>
      </c>
    </row>
    <row r="362" spans="1:31">
      <c r="A362" t="str">
        <f t="shared" si="113"/>
        <v>Tuesday</v>
      </c>
      <c r="B362" s="1">
        <f t="shared" si="115"/>
        <v>46112</v>
      </c>
      <c r="C362" s="45">
        <f>IF(LEFT(A362,1)="S","",VLOOKUP(B362,$AC$4:$AE$734,3)-'Quoting term rates'!$C$4)</f>
        <v>4.3299999999999998E-2</v>
      </c>
      <c r="D362">
        <f t="shared" ref="D362" si="128">D361*(1+C361*1/360)</f>
        <v>1.0439949396841284</v>
      </c>
      <c r="E362" s="45">
        <f t="shared" si="118"/>
        <v>4.4240721470073227E-2</v>
      </c>
      <c r="AC362" s="1">
        <f t="shared" si="114"/>
        <v>46112</v>
      </c>
      <c r="AD362">
        <f>IF(VLOOKUP(AC362,'FOMC exp '!$C$6:$C$22,1)=AC362,MATCH(AC362,'FOMC exp '!$C$6:$C$22,1),AD361)</f>
        <v>9</v>
      </c>
      <c r="AE362" s="18" cm="1">
        <f t="array" ref="AE362">INDEX('FOMC exp '!$C$6:$D$23,AD362,2)</f>
        <v>4.4999999999999998E-2</v>
      </c>
    </row>
    <row r="363" spans="1:31">
      <c r="A363" t="str">
        <f t="shared" si="113"/>
        <v>Wednesday</v>
      </c>
      <c r="B363" s="1">
        <f t="shared" si="115"/>
        <v>46113</v>
      </c>
      <c r="C363" s="45">
        <f>IF(LEFT(A363,1)="S","",VLOOKUP(B363,$AC$4:$AE$734,3)-'Quoting term rates'!$C$4)</f>
        <v>4.3299999999999998E-2</v>
      </c>
      <c r="D363">
        <f t="shared" si="117"/>
        <v>1.0441205090754848</v>
      </c>
      <c r="E363" s="45">
        <f t="shared" si="118"/>
        <v>4.4243407429455525E-2</v>
      </c>
      <c r="AC363" s="1">
        <f t="shared" si="114"/>
        <v>46113</v>
      </c>
      <c r="AD363">
        <f>IF(VLOOKUP(AC363,'FOMC exp '!$C$6:$C$22,1)=AC363,MATCH(AC363,'FOMC exp '!$C$6:$C$22,1),AD362)</f>
        <v>9</v>
      </c>
      <c r="AE363" s="18" cm="1">
        <f t="array" ref="AE363">INDEX('FOMC exp '!$C$6:$D$23,AD363,2)</f>
        <v>4.4999999999999998E-2</v>
      </c>
    </row>
    <row r="364" spans="1:31">
      <c r="A364" t="str">
        <f t="shared" si="113"/>
        <v>Thursday</v>
      </c>
      <c r="B364" s="1">
        <f t="shared" si="115"/>
        <v>46114</v>
      </c>
      <c r="C364" s="45">
        <f>IF(LEFT(A364,1)="S","",VLOOKUP(B364,$AC$4:$AE$734,3)-'Quoting term rates'!$C$4)</f>
        <v>4.3299999999999998E-2</v>
      </c>
      <c r="D364">
        <f t="shared" si="117"/>
        <v>1.0442460935700486</v>
      </c>
      <c r="E364" s="45">
        <f t="shared" si="118"/>
        <v>4.4246093570048606E-2</v>
      </c>
      <c r="AC364" s="1">
        <f t="shared" si="114"/>
        <v>46114</v>
      </c>
      <c r="AD364">
        <f>IF(VLOOKUP(AC364,'FOMC exp '!$C$6:$C$22,1)=AC364,MATCH(AC364,'FOMC exp '!$C$6:$C$22,1),AD363)</f>
        <v>9</v>
      </c>
      <c r="AE364" s="18" cm="1">
        <f t="array" ref="AE364">INDEX('FOMC exp '!$C$6:$D$23,AD364,2)</f>
        <v>4.4999999999999998E-2</v>
      </c>
    </row>
    <row r="365" spans="1:31">
      <c r="A365" t="str">
        <f t="shared" si="113"/>
        <v>Friday</v>
      </c>
      <c r="B365" s="1">
        <f t="shared" si="115"/>
        <v>46115</v>
      </c>
      <c r="C365" s="45">
        <f>IF(LEFT(A365,1)="S","",VLOOKUP(B365,$AC$4:$AE$734,3)-'Quoting term rates'!$C$4)</f>
        <v>4.3299999999999998E-2</v>
      </c>
      <c r="D365">
        <f t="shared" si="117"/>
        <v>1.0443716931696363</v>
      </c>
      <c r="E365" s="45">
        <f t="shared" si="118"/>
        <v>4.4248779892158079E-2</v>
      </c>
      <c r="AC365" s="1">
        <f t="shared" si="114"/>
        <v>46115</v>
      </c>
      <c r="AD365">
        <f>IF(VLOOKUP(AC365,'FOMC exp '!$C$6:$C$22,1)=AC365,MATCH(AC365,'FOMC exp '!$C$6:$C$22,1),AD364)</f>
        <v>9</v>
      </c>
      <c r="AE365" s="18" cm="1">
        <f t="array" ref="AE365">INDEX('FOMC exp '!$C$6:$D$23,AD365,2)</f>
        <v>4.4999999999999998E-2</v>
      </c>
    </row>
    <row r="366" spans="1:31">
      <c r="A366" t="str">
        <f t="shared" si="113"/>
        <v>Saturday</v>
      </c>
      <c r="B366" s="1">
        <f t="shared" si="115"/>
        <v>46116</v>
      </c>
      <c r="C366" s="45" t="str">
        <f>IF(LEFT(A366,1)="S","",VLOOKUP(B366,$AC$4:$AE$734,3)-'Quoting term rates'!$C$4)</f>
        <v/>
      </c>
      <c r="E366" s="45" t="str">
        <f t="shared" si="118"/>
        <v/>
      </c>
      <c r="AC366" s="1">
        <f t="shared" si="114"/>
        <v>46116</v>
      </c>
      <c r="AD366">
        <f>IF(VLOOKUP(AC366,'FOMC exp '!$C$6:$C$22,1)=AC366,MATCH(AC366,'FOMC exp '!$C$6:$C$22,1),AD365)</f>
        <v>9</v>
      </c>
      <c r="AE366" s="18" cm="1">
        <f t="array" ref="AE366">INDEX('FOMC exp '!$C$6:$D$23,AD366,2)</f>
        <v>4.4999999999999998E-2</v>
      </c>
    </row>
    <row r="367" spans="1:31">
      <c r="A367" t="str">
        <f t="shared" si="113"/>
        <v>Sunday</v>
      </c>
      <c r="B367" s="1">
        <f t="shared" si="115"/>
        <v>46117</v>
      </c>
      <c r="C367" s="45" t="str">
        <f>IF(LEFT(A367,1)="S","",VLOOKUP(B367,$AC$4:$AE$734,3)-'Quoting term rates'!$C$4)</f>
        <v/>
      </c>
      <c r="E367" s="45" t="str">
        <f t="shared" si="118"/>
        <v/>
      </c>
      <c r="AC367" s="1">
        <f t="shared" si="114"/>
        <v>46117</v>
      </c>
      <c r="AD367">
        <f>IF(VLOOKUP(AC367,'FOMC exp '!$C$6:$C$22,1)=AC367,MATCH(AC367,'FOMC exp '!$C$6:$C$22,1),AD366)</f>
        <v>9</v>
      </c>
      <c r="AE367" s="18" cm="1">
        <f t="array" ref="AE367">INDEX('FOMC exp '!$C$6:$D$23,AD367,2)</f>
        <v>4.4999999999999998E-2</v>
      </c>
    </row>
    <row r="368" spans="1:31">
      <c r="A368" t="str">
        <f t="shared" si="113"/>
        <v>Monday</v>
      </c>
      <c r="B368" s="1">
        <f t="shared" si="115"/>
        <v>46118</v>
      </c>
      <c r="C368" s="45">
        <f>IF(LEFT(A368,1)="S","",VLOOKUP(B368,$AC$4:$AE$734,3)-'Quoting term rates'!$C$4)</f>
        <v>4.3299999999999998E-2</v>
      </c>
      <c r="D368">
        <f t="shared" ref="D368" si="129">D365*(1+C365*3/360)</f>
        <v>1.0447485372889218</v>
      </c>
      <c r="E368" s="45">
        <f t="shared" si="118"/>
        <v>4.4256795120911685E-2</v>
      </c>
      <c r="AC368" s="1">
        <f t="shared" si="114"/>
        <v>46118</v>
      </c>
      <c r="AD368">
        <f>IF(VLOOKUP(AC368,'FOMC exp '!$C$6:$C$22,1)=AC368,MATCH(AC368,'FOMC exp '!$C$6:$C$22,1),AD367)</f>
        <v>9</v>
      </c>
      <c r="AE368" s="18" cm="1">
        <f t="array" ref="AE368">INDEX('FOMC exp '!$C$6:$D$23,AD368,2)</f>
        <v>4.4999999999999998E-2</v>
      </c>
    </row>
    <row r="369" spans="1:31">
      <c r="A369" t="str">
        <f t="shared" si="113"/>
        <v>Tuesday</v>
      </c>
      <c r="B369" s="1">
        <f t="shared" si="115"/>
        <v>46119</v>
      </c>
      <c r="C369" s="45">
        <f>IF(LEFT(A369,1)="S","",VLOOKUP(B369,$AC$4:$AE$734,3)-'Quoting term rates'!$C$4)</f>
        <v>4.3299999999999998E-2</v>
      </c>
      <c r="D369">
        <f t="shared" ref="D369:D372" si="130">D368*(1+C368*1/360)</f>
        <v>1.0448741973213236</v>
      </c>
      <c r="E369" s="45">
        <f t="shared" ref="E369:E432" si="131">IF((D369-1)*360/(B369-$B$4)&lt;0,"",(D369-1)*360/(B369-$B$4))</f>
        <v>4.4259482289524636E-2</v>
      </c>
      <c r="AC369" s="1">
        <f t="shared" si="114"/>
        <v>46119</v>
      </c>
      <c r="AD369">
        <f>IF(VLOOKUP(AC369,'FOMC exp '!$C$6:$C$22,1)=AC369,MATCH(AC369,'FOMC exp '!$C$6:$C$22,1),AD368)</f>
        <v>9</v>
      </c>
      <c r="AE369" s="18" cm="1">
        <f t="array" ref="AE369">INDEX('FOMC exp '!$C$6:$D$23,AD369,2)</f>
        <v>4.4999999999999998E-2</v>
      </c>
    </row>
    <row r="370" spans="1:31">
      <c r="A370" t="str">
        <f t="shared" si="113"/>
        <v>Wednesday</v>
      </c>
      <c r="B370" s="1">
        <f t="shared" si="115"/>
        <v>46120</v>
      </c>
      <c r="C370" s="45">
        <f>IF(LEFT(A370,1)="S","",VLOOKUP(B370,$AC$4:$AE$734,3)-'Quoting term rates'!$C$4)</f>
        <v>4.3299999999999998E-2</v>
      </c>
      <c r="D370">
        <f t="shared" si="130"/>
        <v>1.0449998724678347</v>
      </c>
      <c r="E370" s="45">
        <f t="shared" si="131"/>
        <v>4.4262169640493107E-2</v>
      </c>
      <c r="AC370" s="1">
        <f t="shared" si="114"/>
        <v>46120</v>
      </c>
      <c r="AD370">
        <f>IF(VLOOKUP(AC370,'FOMC exp '!$C$6:$C$22,1)=AC370,MATCH(AC370,'FOMC exp '!$C$6:$C$22,1),AD369)</f>
        <v>9</v>
      </c>
      <c r="AE370" s="18" cm="1">
        <f t="array" ref="AE370">INDEX('FOMC exp '!$C$6:$D$23,AD370,2)</f>
        <v>4.4999999999999998E-2</v>
      </c>
    </row>
    <row r="371" spans="1:31">
      <c r="A371" t="str">
        <f t="shared" si="113"/>
        <v>Thursday</v>
      </c>
      <c r="B371" s="1">
        <f t="shared" si="115"/>
        <v>46121</v>
      </c>
      <c r="C371" s="45">
        <f>IF(LEFT(A371,1)="S","",VLOOKUP(B371,$AC$4:$AE$734,3)-'Quoting term rates'!$C$4)</f>
        <v>4.3299999999999998E-2</v>
      </c>
      <c r="D371">
        <f t="shared" si="130"/>
        <v>1.0451255627302731</v>
      </c>
      <c r="E371" s="45">
        <f t="shared" si="131"/>
        <v>4.4264857174109877E-2</v>
      </c>
      <c r="AC371" s="1">
        <f t="shared" si="114"/>
        <v>46121</v>
      </c>
      <c r="AD371">
        <f>IF(VLOOKUP(AC371,'FOMC exp '!$C$6:$C$22,1)=AC371,MATCH(AC371,'FOMC exp '!$C$6:$C$22,1),AD370)</f>
        <v>9</v>
      </c>
      <c r="AE371" s="18" cm="1">
        <f t="array" ref="AE371">INDEX('FOMC exp '!$C$6:$D$23,AD371,2)</f>
        <v>4.4999999999999998E-2</v>
      </c>
    </row>
    <row r="372" spans="1:31">
      <c r="A372" t="str">
        <f t="shared" si="113"/>
        <v>Friday</v>
      </c>
      <c r="B372" s="1">
        <f t="shared" si="115"/>
        <v>46122</v>
      </c>
      <c r="C372" s="45">
        <f>IF(LEFT(A372,1)="S","",VLOOKUP(B372,$AC$4:$AE$734,3)-'Quoting term rates'!$C$4)</f>
        <v>4.3299999999999998E-2</v>
      </c>
      <c r="D372">
        <f t="shared" si="130"/>
        <v>1.0452512681104571</v>
      </c>
      <c r="E372" s="45">
        <f t="shared" si="131"/>
        <v>4.4267544890664548E-2</v>
      </c>
      <c r="AC372" s="1">
        <f t="shared" si="114"/>
        <v>46122</v>
      </c>
      <c r="AD372">
        <f>IF(VLOOKUP(AC372,'FOMC exp '!$C$6:$C$22,1)=AC372,MATCH(AC372,'FOMC exp '!$C$6:$C$22,1),AD371)</f>
        <v>9</v>
      </c>
      <c r="AE372" s="18" cm="1">
        <f t="array" ref="AE372">INDEX('FOMC exp '!$C$6:$D$23,AD372,2)</f>
        <v>4.4999999999999998E-2</v>
      </c>
    </row>
    <row r="373" spans="1:31">
      <c r="A373" t="str">
        <f t="shared" si="113"/>
        <v>Saturday</v>
      </c>
      <c r="B373" s="1">
        <f t="shared" si="115"/>
        <v>46123</v>
      </c>
      <c r="C373" s="45" t="str">
        <f>IF(LEFT(A373,1)="S","",VLOOKUP(B373,$AC$4:$AE$734,3)-'Quoting term rates'!$C$4)</f>
        <v/>
      </c>
      <c r="E373" s="45" t="str">
        <f t="shared" si="131"/>
        <v/>
      </c>
      <c r="AC373" s="1">
        <f t="shared" si="114"/>
        <v>46123</v>
      </c>
      <c r="AD373">
        <f>IF(VLOOKUP(AC373,'FOMC exp '!$C$6:$C$22,1)=AC373,MATCH(AC373,'FOMC exp '!$C$6:$C$22,1),AD372)</f>
        <v>9</v>
      </c>
      <c r="AE373" s="18" cm="1">
        <f t="array" ref="AE373">INDEX('FOMC exp '!$C$6:$D$23,AD373,2)</f>
        <v>4.4999999999999998E-2</v>
      </c>
    </row>
    <row r="374" spans="1:31">
      <c r="A374" t="str">
        <f t="shared" si="113"/>
        <v>Sunday</v>
      </c>
      <c r="B374" s="1">
        <f t="shared" si="115"/>
        <v>46124</v>
      </c>
      <c r="C374" s="45" t="str">
        <f>IF(LEFT(A374,1)="S","",VLOOKUP(B374,$AC$4:$AE$734,3)-'Quoting term rates'!$C$4)</f>
        <v/>
      </c>
      <c r="E374" s="45" t="str">
        <f t="shared" si="131"/>
        <v/>
      </c>
      <c r="AC374" s="1">
        <f t="shared" si="114"/>
        <v>46124</v>
      </c>
      <c r="AD374">
        <f>IF(VLOOKUP(AC374,'FOMC exp '!$C$6:$C$22,1)=AC374,MATCH(AC374,'FOMC exp '!$C$6:$C$22,1),AD373)</f>
        <v>9</v>
      </c>
      <c r="AE374" s="18" cm="1">
        <f t="array" ref="AE374">INDEX('FOMC exp '!$C$6:$D$23,AD374,2)</f>
        <v>4.4999999999999998E-2</v>
      </c>
    </row>
    <row r="375" spans="1:31">
      <c r="A375" t="str">
        <f t="shared" si="113"/>
        <v>Monday</v>
      </c>
      <c r="B375" s="1">
        <f t="shared" si="115"/>
        <v>46125</v>
      </c>
      <c r="C375" s="45">
        <f>IF(LEFT(A375,1)="S","",VLOOKUP(B375,$AC$4:$AE$734,3)-'Quoting term rates'!$C$4)</f>
        <v>4.3299999999999998E-2</v>
      </c>
      <c r="D375">
        <f t="shared" ref="D375:D438" si="132">D372*(1+C372*3/360)</f>
        <v>1.0456284296097003</v>
      </c>
      <c r="E375" s="45">
        <f t="shared" si="131"/>
        <v>4.4275565119924788E-2</v>
      </c>
      <c r="AC375" s="1">
        <f t="shared" si="114"/>
        <v>46125</v>
      </c>
      <c r="AD375">
        <f>IF(VLOOKUP(AC375,'FOMC exp '!$C$6:$C$22,1)=AC375,MATCH(AC375,'FOMC exp '!$C$6:$C$22,1),AD374)</f>
        <v>9</v>
      </c>
      <c r="AE375" s="18" cm="1">
        <f t="array" ref="AE375">INDEX('FOMC exp '!$C$6:$D$23,AD375,2)</f>
        <v>4.4999999999999998E-2</v>
      </c>
    </row>
    <row r="376" spans="1:31">
      <c r="A376" t="str">
        <f t="shared" si="113"/>
        <v>Tuesday</v>
      </c>
      <c r="B376" s="1">
        <f t="shared" si="115"/>
        <v>46126</v>
      </c>
      <c r="C376" s="45">
        <f>IF(LEFT(A376,1)="S","",VLOOKUP(B376,$AC$4:$AE$734,3)-'Quoting term rates'!$C$4)</f>
        <v>4.3299999999999998E-2</v>
      </c>
      <c r="D376">
        <f t="shared" ref="D376:D379" si="133">D375*(1+C375*1/360)</f>
        <v>1.0457541954735949</v>
      </c>
      <c r="E376" s="45">
        <f t="shared" si="131"/>
        <v>4.4278253684124136E-2</v>
      </c>
      <c r="AC376" s="1">
        <f t="shared" si="114"/>
        <v>46126</v>
      </c>
      <c r="AD376">
        <f>IF(VLOOKUP(AC376,'FOMC exp '!$C$6:$C$22,1)=AC376,MATCH(AC376,'FOMC exp '!$C$6:$C$22,1),AD375)</f>
        <v>9</v>
      </c>
      <c r="AE376" s="18" cm="1">
        <f t="array" ref="AE376">INDEX('FOMC exp '!$C$6:$D$23,AD376,2)</f>
        <v>4.4999999999999998E-2</v>
      </c>
    </row>
    <row r="377" spans="1:31">
      <c r="A377" t="str">
        <f t="shared" si="113"/>
        <v>Wednesday</v>
      </c>
      <c r="B377" s="1">
        <f t="shared" si="115"/>
        <v>46127</v>
      </c>
      <c r="C377" s="45">
        <f>IF(LEFT(A377,1)="S","",VLOOKUP(B377,$AC$4:$AE$734,3)-'Quoting term rates'!$C$4)</f>
        <v>4.3299999999999998E-2</v>
      </c>
      <c r="D377">
        <f t="shared" si="133"/>
        <v>1.0458799764643283</v>
      </c>
      <c r="E377" s="45">
        <f t="shared" si="131"/>
        <v>4.4280942432059475E-2</v>
      </c>
      <c r="AC377" s="1">
        <f t="shared" si="114"/>
        <v>46127</v>
      </c>
      <c r="AD377">
        <f>IF(VLOOKUP(AC377,'FOMC exp '!$C$6:$C$22,1)=AC377,MATCH(AC377,'FOMC exp '!$C$6:$C$22,1),AD376)</f>
        <v>9</v>
      </c>
      <c r="AE377" s="18" cm="1">
        <f t="array" ref="AE377">INDEX('FOMC exp '!$C$6:$D$23,AD377,2)</f>
        <v>4.4999999999999998E-2</v>
      </c>
    </row>
    <row r="378" spans="1:31">
      <c r="A378" t="str">
        <f t="shared" si="113"/>
        <v>Thursday</v>
      </c>
      <c r="B378" s="1">
        <f t="shared" si="115"/>
        <v>46128</v>
      </c>
      <c r="C378" s="45">
        <f>IF(LEFT(A378,1)="S","",VLOOKUP(B378,$AC$4:$AE$734,3)-'Quoting term rates'!$C$4)</f>
        <v>4.3299999999999998E-2</v>
      </c>
      <c r="D378">
        <f t="shared" si="133"/>
        <v>1.0460057725837197</v>
      </c>
      <c r="E378" s="45">
        <f t="shared" si="131"/>
        <v>4.4283631364008307E-2</v>
      </c>
      <c r="AC378" s="1">
        <f t="shared" si="114"/>
        <v>46128</v>
      </c>
      <c r="AD378">
        <f>IF(VLOOKUP(AC378,'FOMC exp '!$C$6:$C$22,1)=AC378,MATCH(AC378,'FOMC exp '!$C$6:$C$22,1),AD377)</f>
        <v>9</v>
      </c>
      <c r="AE378" s="18" cm="1">
        <f t="array" ref="AE378">INDEX('FOMC exp '!$C$6:$D$23,AD378,2)</f>
        <v>4.4999999999999998E-2</v>
      </c>
    </row>
    <row r="379" spans="1:31">
      <c r="A379" t="str">
        <f t="shared" si="113"/>
        <v>Friday</v>
      </c>
      <c r="B379" s="1">
        <f t="shared" si="115"/>
        <v>46129</v>
      </c>
      <c r="C379" s="45">
        <f>IF(LEFT(A379,1)="S","",VLOOKUP(B379,$AC$4:$AE$734,3)-'Quoting term rates'!$C$4)</f>
        <v>4.3299999999999998E-2</v>
      </c>
      <c r="D379">
        <f t="shared" si="133"/>
        <v>1.046131583833589</v>
      </c>
      <c r="E379" s="45">
        <f t="shared" si="131"/>
        <v>4.4286320480245396E-2</v>
      </c>
      <c r="AC379" s="1">
        <f t="shared" si="114"/>
        <v>46129</v>
      </c>
      <c r="AD379">
        <f>IF(VLOOKUP(AC379,'FOMC exp '!$C$6:$C$22,1)=AC379,MATCH(AC379,'FOMC exp '!$C$6:$C$22,1),AD378)</f>
        <v>9</v>
      </c>
      <c r="AE379" s="18" cm="1">
        <f t="array" ref="AE379">INDEX('FOMC exp '!$C$6:$D$23,AD379,2)</f>
        <v>4.4999999999999998E-2</v>
      </c>
    </row>
    <row r="380" spans="1:31">
      <c r="A380" t="str">
        <f t="shared" si="113"/>
        <v>Saturday</v>
      </c>
      <c r="B380" s="1">
        <f t="shared" si="115"/>
        <v>46130</v>
      </c>
      <c r="C380" s="45" t="str">
        <f>IF(LEFT(A380,1)="S","",VLOOKUP(B380,$AC$4:$AE$734,3)-'Quoting term rates'!$C$4)</f>
        <v/>
      </c>
      <c r="E380" s="45" t="str">
        <f t="shared" si="131"/>
        <v/>
      </c>
      <c r="AC380" s="1">
        <f t="shared" si="114"/>
        <v>46130</v>
      </c>
      <c r="AD380">
        <f>IF(VLOOKUP(AC380,'FOMC exp '!$C$6:$C$22,1)=AC380,MATCH(AC380,'FOMC exp '!$C$6:$C$22,1),AD379)</f>
        <v>9</v>
      </c>
      <c r="AE380" s="18" cm="1">
        <f t="array" ref="AE380">INDEX('FOMC exp '!$C$6:$D$23,AD380,2)</f>
        <v>4.4999999999999998E-2</v>
      </c>
    </row>
    <row r="381" spans="1:31">
      <c r="A381" t="str">
        <f t="shared" si="113"/>
        <v>Sunday</v>
      </c>
      <c r="B381" s="1">
        <f t="shared" si="115"/>
        <v>46131</v>
      </c>
      <c r="C381" s="45" t="str">
        <f>IF(LEFT(A381,1)="S","",VLOOKUP(B381,$AC$4:$AE$734,3)-'Quoting term rates'!$C$4)</f>
        <v/>
      </c>
      <c r="E381" s="45" t="str">
        <f t="shared" si="131"/>
        <v/>
      </c>
      <c r="AC381" s="1">
        <f t="shared" si="114"/>
        <v>46131</v>
      </c>
      <c r="AD381">
        <f>IF(VLOOKUP(AC381,'FOMC exp '!$C$6:$C$22,1)=AC381,MATCH(AC381,'FOMC exp '!$C$6:$C$22,1),AD380)</f>
        <v>9</v>
      </c>
      <c r="AE381" s="18" cm="1">
        <f t="array" ref="AE381">INDEX('FOMC exp '!$C$6:$D$23,AD381,2)</f>
        <v>4.4999999999999998E-2</v>
      </c>
    </row>
    <row r="382" spans="1:31">
      <c r="A382" t="str">
        <f t="shared" si="113"/>
        <v>Monday</v>
      </c>
      <c r="B382" s="1">
        <f t="shared" si="115"/>
        <v>46132</v>
      </c>
      <c r="C382" s="45">
        <f>IF(LEFT(A382,1)="S","",VLOOKUP(B382,$AC$4:$AE$734,3)-'Quoting term rates'!$C$4)</f>
        <v>4.3299999999999998E-2</v>
      </c>
      <c r="D382">
        <f t="shared" si="132"/>
        <v>1.0465090629800888</v>
      </c>
      <c r="E382" s="45">
        <f t="shared" si="131"/>
        <v>4.4294345695322701E-2</v>
      </c>
      <c r="AC382" s="1">
        <f t="shared" si="114"/>
        <v>46132</v>
      </c>
      <c r="AD382">
        <f>IF(VLOOKUP(AC382,'FOMC exp '!$C$6:$C$22,1)=AC382,MATCH(AC382,'FOMC exp '!$C$6:$C$22,1),AD381)</f>
        <v>9</v>
      </c>
      <c r="AE382" s="18" cm="1">
        <f t="array" ref="AE382">INDEX('FOMC exp '!$C$6:$D$23,AD382,2)</f>
        <v>4.4999999999999998E-2</v>
      </c>
    </row>
    <row r="383" spans="1:31">
      <c r="A383" t="str">
        <f t="shared" si="113"/>
        <v>Tuesday</v>
      </c>
      <c r="B383" s="1">
        <f t="shared" si="115"/>
        <v>46133</v>
      </c>
      <c r="C383" s="45">
        <f>IF(LEFT(A383,1)="S","",VLOOKUP(B383,$AC$4:$AE$734,3)-'Quoting term rates'!$C$4)</f>
        <v>4.3299999999999998E-2</v>
      </c>
      <c r="D383">
        <f t="shared" ref="D383:D386" si="134">D382*(1+C382*1/360)</f>
        <v>1.0466349347646084</v>
      </c>
      <c r="E383" s="45">
        <f t="shared" si="131"/>
        <v>4.4297035660314094E-2</v>
      </c>
      <c r="AC383" s="1">
        <f t="shared" si="114"/>
        <v>46133</v>
      </c>
      <c r="AD383">
        <f>IF(VLOOKUP(AC383,'FOMC exp '!$C$6:$C$22,1)=AC383,MATCH(AC383,'FOMC exp '!$C$6:$C$22,1),AD382)</f>
        <v>9</v>
      </c>
      <c r="AE383" s="18" cm="1">
        <f t="array" ref="AE383">INDEX('FOMC exp '!$C$6:$D$23,AD383,2)</f>
        <v>4.4999999999999998E-2</v>
      </c>
    </row>
    <row r="384" spans="1:31">
      <c r="A384" t="str">
        <f t="shared" si="113"/>
        <v>Wednesday</v>
      </c>
      <c r="B384" s="1">
        <f t="shared" si="115"/>
        <v>46134</v>
      </c>
      <c r="C384" s="45">
        <f>IF(LEFT(A384,1)="S","",VLOOKUP(B384,$AC$4:$AE$734,3)-'Quoting term rates'!$C$4)</f>
        <v>4.3299999999999998E-2</v>
      </c>
      <c r="D384">
        <f t="shared" si="134"/>
        <v>1.0467608216887065</v>
      </c>
      <c r="E384" s="45">
        <f t="shared" si="131"/>
        <v>4.429972581035356E-2</v>
      </c>
      <c r="AC384" s="1">
        <f t="shared" si="114"/>
        <v>46134</v>
      </c>
      <c r="AD384">
        <f>IF(VLOOKUP(AC384,'FOMC exp '!$C$6:$C$22,1)=AC384,MATCH(AC384,'FOMC exp '!$C$6:$C$22,1),AD383)</f>
        <v>9</v>
      </c>
      <c r="AE384" s="18" cm="1">
        <f t="array" ref="AE384">INDEX('FOMC exp '!$C$6:$D$23,AD384,2)</f>
        <v>4.4999999999999998E-2</v>
      </c>
    </row>
    <row r="385" spans="1:31">
      <c r="A385" t="str">
        <f t="shared" si="113"/>
        <v>Thursday</v>
      </c>
      <c r="B385" s="1">
        <f t="shared" si="115"/>
        <v>46135</v>
      </c>
      <c r="C385" s="45">
        <f>IF(LEFT(A385,1)="S","",VLOOKUP(B385,$AC$4:$AE$734,3)-'Quoting term rates'!$C$4)</f>
        <v>4.3299999999999998E-2</v>
      </c>
      <c r="D385">
        <f t="shared" si="134"/>
        <v>1.0468867237542041</v>
      </c>
      <c r="E385" s="45">
        <f t="shared" si="131"/>
        <v>4.4302416145704661E-2</v>
      </c>
      <c r="AC385" s="1">
        <f t="shared" si="114"/>
        <v>46135</v>
      </c>
      <c r="AD385">
        <f>IF(VLOOKUP(AC385,'FOMC exp '!$C$6:$C$22,1)=AC385,MATCH(AC385,'FOMC exp '!$C$6:$C$22,1),AD384)</f>
        <v>9</v>
      </c>
      <c r="AE385" s="18" cm="1">
        <f t="array" ref="AE385">INDEX('FOMC exp '!$C$6:$D$23,AD385,2)</f>
        <v>4.4999999999999998E-2</v>
      </c>
    </row>
    <row r="386" spans="1:31">
      <c r="A386" t="str">
        <f t="shared" si="113"/>
        <v>Friday</v>
      </c>
      <c r="B386" s="1">
        <f t="shared" si="115"/>
        <v>46136</v>
      </c>
      <c r="C386" s="45">
        <f>IF(LEFT(A386,1)="S","",VLOOKUP(B386,$AC$4:$AE$734,3)-'Quoting term rates'!$C$4)</f>
        <v>4.3299999999999998E-2</v>
      </c>
      <c r="D386">
        <f t="shared" si="134"/>
        <v>1.0470126409629223</v>
      </c>
      <c r="E386" s="45">
        <f t="shared" si="131"/>
        <v>4.4305106666628388E-2</v>
      </c>
      <c r="AC386" s="1">
        <f t="shared" si="114"/>
        <v>46136</v>
      </c>
      <c r="AD386">
        <f>IF(VLOOKUP(AC386,'FOMC exp '!$C$6:$C$22,1)=AC386,MATCH(AC386,'FOMC exp '!$C$6:$C$22,1),AD385)</f>
        <v>9</v>
      </c>
      <c r="AE386" s="18" cm="1">
        <f t="array" ref="AE386">INDEX('FOMC exp '!$C$6:$D$23,AD386,2)</f>
        <v>4.4999999999999998E-2</v>
      </c>
    </row>
    <row r="387" spans="1:31">
      <c r="A387" t="str">
        <f t="shared" si="113"/>
        <v>Saturday</v>
      </c>
      <c r="B387" s="1">
        <f t="shared" si="115"/>
        <v>46137</v>
      </c>
      <c r="C387" s="45" t="str">
        <f>IF(LEFT(A387,1)="S","",VLOOKUP(B387,$AC$4:$AE$734,3)-'Quoting term rates'!$C$4)</f>
        <v/>
      </c>
      <c r="E387" s="45" t="str">
        <f t="shared" si="131"/>
        <v/>
      </c>
      <c r="AC387" s="1">
        <f t="shared" si="114"/>
        <v>46137</v>
      </c>
      <c r="AD387">
        <f>IF(VLOOKUP(AC387,'FOMC exp '!$C$6:$C$22,1)=AC387,MATCH(AC387,'FOMC exp '!$C$6:$C$22,1),AD386)</f>
        <v>9</v>
      </c>
      <c r="AE387" s="18" cm="1">
        <f t="array" ref="AE387">INDEX('FOMC exp '!$C$6:$D$23,AD387,2)</f>
        <v>4.4999999999999998E-2</v>
      </c>
    </row>
    <row r="388" spans="1:31">
      <c r="A388" t="str">
        <f t="shared" si="113"/>
        <v>Sunday</v>
      </c>
      <c r="B388" s="1">
        <f t="shared" si="115"/>
        <v>46138</v>
      </c>
      <c r="C388" s="45" t="str">
        <f>IF(LEFT(A388,1)="S","",VLOOKUP(B388,$AC$4:$AE$734,3)-'Quoting term rates'!$C$4)</f>
        <v/>
      </c>
      <c r="E388" s="45" t="str">
        <f t="shared" si="131"/>
        <v/>
      </c>
      <c r="AC388" s="1">
        <f t="shared" si="114"/>
        <v>46138</v>
      </c>
      <c r="AD388">
        <f>IF(VLOOKUP(AC388,'FOMC exp '!$C$6:$C$22,1)=AC388,MATCH(AC388,'FOMC exp '!$C$6:$C$22,1),AD387)</f>
        <v>9</v>
      </c>
      <c r="AE388" s="18" cm="1">
        <f t="array" ref="AE388">INDEX('FOMC exp '!$C$6:$D$23,AD388,2)</f>
        <v>4.4999999999999998E-2</v>
      </c>
    </row>
    <row r="389" spans="1:31">
      <c r="A389" t="str">
        <f t="shared" ref="A389:A452" si="135">VLOOKUP(WEEKDAY(B389,2),$Z$2:$AA$8,2)</f>
        <v>Monday</v>
      </c>
      <c r="B389" s="1">
        <f t="shared" si="115"/>
        <v>46139</v>
      </c>
      <c r="C389" s="45">
        <f>IF(LEFT(A389,1)="S","",VLOOKUP(B389,$AC$4:$AE$734,3)-'Quoting term rates'!$C$4)</f>
        <v>4.3299999999999998E-2</v>
      </c>
      <c r="D389">
        <f t="shared" si="132"/>
        <v>1.0473904380242032</v>
      </c>
      <c r="E389" s="45">
        <f t="shared" si="131"/>
        <v>4.4313136853800374E-2</v>
      </c>
      <c r="AC389" s="1">
        <f t="shared" ref="AC389:AC452" si="136">B389</f>
        <v>46139</v>
      </c>
      <c r="AD389">
        <f>IF(VLOOKUP(AC389,'FOMC exp '!$C$6:$C$22,1)=AC389,MATCH(AC389,'FOMC exp '!$C$6:$C$22,1),AD388)</f>
        <v>9</v>
      </c>
      <c r="AE389" s="18" cm="1">
        <f t="array" ref="AE389">INDEX('FOMC exp '!$C$6:$D$23,AD389,2)</f>
        <v>4.4999999999999998E-2</v>
      </c>
    </row>
    <row r="390" spans="1:31">
      <c r="A390" t="str">
        <f t="shared" si="135"/>
        <v>Tuesday</v>
      </c>
      <c r="B390" s="1">
        <f t="shared" ref="B390:B453" si="137">B389+1</f>
        <v>46140</v>
      </c>
      <c r="C390" s="45">
        <f>IF(LEFT(A390,1)="S","",VLOOKUP(B390,$AC$4:$AE$734,3)-'Quoting term rates'!$C$4)</f>
        <v>4.3299999999999998E-2</v>
      </c>
      <c r="D390">
        <f t="shared" ref="D390:D393" si="138">D389*(1+C389*1/360)</f>
        <v>1.0475164158185544</v>
      </c>
      <c r="E390" s="45">
        <f t="shared" si="131"/>
        <v>4.4315828224558484E-2</v>
      </c>
      <c r="AC390" s="1">
        <f t="shared" si="136"/>
        <v>46140</v>
      </c>
      <c r="AD390">
        <f>IF(VLOOKUP(AC390,'FOMC exp '!$C$6:$C$22,1)=AC390,MATCH(AC390,'FOMC exp '!$C$6:$C$22,1),AD389)</f>
        <v>9</v>
      </c>
      <c r="AE390" s="18" cm="1">
        <f t="array" ref="AE390">INDEX('FOMC exp '!$C$6:$D$23,AD390,2)</f>
        <v>4.4999999999999998E-2</v>
      </c>
    </row>
    <row r="391" spans="1:31">
      <c r="A391" t="str">
        <f t="shared" si="135"/>
        <v>Wednesday</v>
      </c>
      <c r="B391" s="1">
        <f t="shared" si="137"/>
        <v>46141</v>
      </c>
      <c r="C391" s="45">
        <f>IF(LEFT(A391,1)="S","",VLOOKUP(B391,$AC$4:$AE$734,3)-'Quoting term rates'!$C$4)</f>
        <v>4.3299999999999998E-2</v>
      </c>
      <c r="D391">
        <f t="shared" si="138"/>
        <v>1.0476424087652347</v>
      </c>
      <c r="E391" s="45">
        <f t="shared" si="131"/>
        <v>4.4318519781613705E-2</v>
      </c>
      <c r="AC391" s="1">
        <f t="shared" si="136"/>
        <v>46141</v>
      </c>
      <c r="AD391">
        <f>IF(VLOOKUP(AC391,'FOMC exp '!$C$6:$C$22,1)=AC391,MATCH(AC391,'FOMC exp '!$C$6:$C$22,1),AD390)</f>
        <v>10</v>
      </c>
      <c r="AE391" s="18" cm="1">
        <f t="array" ref="AE391">INDEX('FOMC exp '!$C$6:$D$23,AD391,2)</f>
        <v>4.4999999999999998E-2</v>
      </c>
    </row>
    <row r="392" spans="1:31">
      <c r="A392" t="str">
        <f t="shared" si="135"/>
        <v>Thursday</v>
      </c>
      <c r="B392" s="1">
        <f t="shared" si="137"/>
        <v>46142</v>
      </c>
      <c r="C392" s="45">
        <f>IF(LEFT(A392,1)="S","",VLOOKUP(B392,$AC$4:$AE$734,3)-'Quoting term rates'!$C$4)</f>
        <v>4.3299999999999998E-2</v>
      </c>
      <c r="D392">
        <f t="shared" si="138"/>
        <v>1.0477684168660668</v>
      </c>
      <c r="E392" s="45">
        <f t="shared" si="131"/>
        <v>4.4321211525216619E-2</v>
      </c>
      <c r="AC392" s="1">
        <f t="shared" si="136"/>
        <v>46142</v>
      </c>
      <c r="AD392">
        <f>IF(VLOOKUP(AC392,'FOMC exp '!$C$6:$C$22,1)=AC392,MATCH(AC392,'FOMC exp '!$C$6:$C$22,1),AD391)</f>
        <v>10</v>
      </c>
      <c r="AE392" s="18" cm="1">
        <f t="array" ref="AE392">INDEX('FOMC exp '!$C$6:$D$23,AD392,2)</f>
        <v>4.4999999999999998E-2</v>
      </c>
    </row>
    <row r="393" spans="1:31">
      <c r="A393" t="str">
        <f t="shared" si="135"/>
        <v>Friday</v>
      </c>
      <c r="B393" s="1">
        <f t="shared" si="137"/>
        <v>46143</v>
      </c>
      <c r="C393" s="45">
        <f>IF(LEFT(A393,1)="S","",VLOOKUP(B393,$AC$4:$AE$734,3)-'Quoting term rates'!$C$4)</f>
        <v>4.3299999999999998E-2</v>
      </c>
      <c r="D393">
        <f t="shared" si="138"/>
        <v>1.0478944401228731</v>
      </c>
      <c r="E393" s="45">
        <f t="shared" si="131"/>
        <v>4.4323903455615245E-2</v>
      </c>
      <c r="AC393" s="1">
        <f t="shared" si="136"/>
        <v>46143</v>
      </c>
      <c r="AD393">
        <f>IF(VLOOKUP(AC393,'FOMC exp '!$C$6:$C$22,1)=AC393,MATCH(AC393,'FOMC exp '!$C$6:$C$22,1),AD392)</f>
        <v>10</v>
      </c>
      <c r="AE393" s="18" cm="1">
        <f t="array" ref="AE393">INDEX('FOMC exp '!$C$6:$D$23,AD393,2)</f>
        <v>4.4999999999999998E-2</v>
      </c>
    </row>
    <row r="394" spans="1:31">
      <c r="A394" t="str">
        <f t="shared" si="135"/>
        <v>Saturday</v>
      </c>
      <c r="B394" s="1">
        <f t="shared" si="137"/>
        <v>46144</v>
      </c>
      <c r="C394" s="45" t="str">
        <f>IF(LEFT(A394,1)="S","",VLOOKUP(B394,$AC$4:$AE$734,3)-'Quoting term rates'!$C$4)</f>
        <v/>
      </c>
      <c r="E394" s="45" t="str">
        <f t="shared" si="131"/>
        <v/>
      </c>
      <c r="AC394" s="1">
        <f t="shared" si="136"/>
        <v>46144</v>
      </c>
      <c r="AD394">
        <f>IF(VLOOKUP(AC394,'FOMC exp '!$C$6:$C$22,1)=AC394,MATCH(AC394,'FOMC exp '!$C$6:$C$22,1),AD393)</f>
        <v>10</v>
      </c>
      <c r="AE394" s="18" cm="1">
        <f t="array" ref="AE394">INDEX('FOMC exp '!$C$6:$D$23,AD394,2)</f>
        <v>4.4999999999999998E-2</v>
      </c>
    </row>
    <row r="395" spans="1:31">
      <c r="A395" t="str">
        <f t="shared" si="135"/>
        <v>Sunday</v>
      </c>
      <c r="B395" s="1">
        <f t="shared" si="137"/>
        <v>46145</v>
      </c>
      <c r="C395" s="45" t="str">
        <f>IF(LEFT(A395,1)="S","",VLOOKUP(B395,$AC$4:$AE$734,3)-'Quoting term rates'!$C$4)</f>
        <v/>
      </c>
      <c r="E395" s="45" t="str">
        <f t="shared" si="131"/>
        <v/>
      </c>
      <c r="AC395" s="1">
        <f t="shared" si="136"/>
        <v>46145</v>
      </c>
      <c r="AD395">
        <f>IF(VLOOKUP(AC395,'FOMC exp '!$C$6:$C$22,1)=AC395,MATCH(AC395,'FOMC exp '!$C$6:$C$22,1),AD394)</f>
        <v>10</v>
      </c>
      <c r="AE395" s="18" cm="1">
        <f t="array" ref="AE395">INDEX('FOMC exp '!$C$6:$D$23,AD395,2)</f>
        <v>4.4999999999999998E-2</v>
      </c>
    </row>
    <row r="396" spans="1:31">
      <c r="A396" t="str">
        <f t="shared" si="135"/>
        <v>Monday</v>
      </c>
      <c r="B396" s="1">
        <f t="shared" si="137"/>
        <v>46146</v>
      </c>
      <c r="C396" s="45">
        <f>IF(LEFT(A396,1)="S","",VLOOKUP(B396,$AC$4:$AE$734,3)-'Quoting term rates'!$C$4)</f>
        <v>4.3299999999999998E-2</v>
      </c>
      <c r="D396">
        <f t="shared" si="132"/>
        <v>1.0482725553666841</v>
      </c>
      <c r="E396" s="45">
        <f t="shared" si="131"/>
        <v>4.4331938602056795E-2</v>
      </c>
      <c r="AC396" s="1">
        <f t="shared" si="136"/>
        <v>46146</v>
      </c>
      <c r="AD396">
        <f>IF(VLOOKUP(AC396,'FOMC exp '!$C$6:$C$22,1)=AC396,MATCH(AC396,'FOMC exp '!$C$6:$C$22,1),AD395)</f>
        <v>10</v>
      </c>
      <c r="AE396" s="18" cm="1">
        <f t="array" ref="AE396">INDEX('FOMC exp '!$C$6:$D$23,AD396,2)</f>
        <v>4.4999999999999998E-2</v>
      </c>
    </row>
    <row r="397" spans="1:31">
      <c r="A397" t="str">
        <f t="shared" si="135"/>
        <v>Tuesday</v>
      </c>
      <c r="B397" s="1">
        <f t="shared" si="137"/>
        <v>46147</v>
      </c>
      <c r="C397" s="45">
        <f>IF(LEFT(A397,1)="S","",VLOOKUP(B397,$AC$4:$AE$734,3)-'Quoting term rates'!$C$4)</f>
        <v>4.3299999999999998E-2</v>
      </c>
      <c r="D397">
        <f t="shared" ref="D397:D400" si="139">D396*(1+C396*1/360)</f>
        <v>1.048398639260149</v>
      </c>
      <c r="E397" s="45">
        <f t="shared" si="131"/>
        <v>4.4334631383342579E-2</v>
      </c>
      <c r="AC397" s="1">
        <f t="shared" si="136"/>
        <v>46147</v>
      </c>
      <c r="AD397">
        <f>IF(VLOOKUP(AC397,'FOMC exp '!$C$6:$C$22,1)=AC397,MATCH(AC397,'FOMC exp '!$C$6:$C$22,1),AD396)</f>
        <v>10</v>
      </c>
      <c r="AE397" s="18" cm="1">
        <f t="array" ref="AE397">INDEX('FOMC exp '!$C$6:$D$23,AD397,2)</f>
        <v>4.4999999999999998E-2</v>
      </c>
    </row>
    <row r="398" spans="1:31">
      <c r="A398" t="str">
        <f t="shared" si="135"/>
        <v>Wednesday</v>
      </c>
      <c r="B398" s="1">
        <f t="shared" si="137"/>
        <v>46148</v>
      </c>
      <c r="C398" s="45">
        <f>IF(LEFT(A398,1)="S","",VLOOKUP(B398,$AC$4:$AE$734,3)-'Quoting term rates'!$C$4)</f>
        <v>4.3299999999999998E-2</v>
      </c>
      <c r="D398">
        <f t="shared" si="139"/>
        <v>1.0485247383187044</v>
      </c>
      <c r="E398" s="45">
        <f t="shared" si="131"/>
        <v>4.4337324352115702E-2</v>
      </c>
      <c r="AC398" s="1">
        <f t="shared" si="136"/>
        <v>46148</v>
      </c>
      <c r="AD398">
        <f>IF(VLOOKUP(AC398,'FOMC exp '!$C$6:$C$22,1)=AC398,MATCH(AC398,'FOMC exp '!$C$6:$C$22,1),AD397)</f>
        <v>10</v>
      </c>
      <c r="AE398" s="18" cm="1">
        <f t="array" ref="AE398">INDEX('FOMC exp '!$C$6:$D$23,AD398,2)</f>
        <v>4.4999999999999998E-2</v>
      </c>
    </row>
    <row r="399" spans="1:31">
      <c r="A399" t="str">
        <f t="shared" si="135"/>
        <v>Thursday</v>
      </c>
      <c r="B399" s="1">
        <f t="shared" si="137"/>
        <v>46149</v>
      </c>
      <c r="C399" s="45">
        <f>IF(LEFT(A399,1)="S","",VLOOKUP(B399,$AC$4:$AE$734,3)-'Quoting term rates'!$C$4)</f>
        <v>4.3299999999999998E-2</v>
      </c>
      <c r="D399">
        <f t="shared" si="139"/>
        <v>1.0486508525441744</v>
      </c>
      <c r="E399" s="45">
        <f t="shared" si="131"/>
        <v>4.4340017508614687E-2</v>
      </c>
      <c r="AC399" s="1">
        <f t="shared" si="136"/>
        <v>46149</v>
      </c>
      <c r="AD399">
        <f>IF(VLOOKUP(AC399,'FOMC exp '!$C$6:$C$22,1)=AC399,MATCH(AC399,'FOMC exp '!$C$6:$C$22,1),AD398)</f>
        <v>10</v>
      </c>
      <c r="AE399" s="18" cm="1">
        <f t="array" ref="AE399">INDEX('FOMC exp '!$C$6:$D$23,AD399,2)</f>
        <v>4.4999999999999998E-2</v>
      </c>
    </row>
    <row r="400" spans="1:31">
      <c r="A400" t="str">
        <f t="shared" si="135"/>
        <v>Friday</v>
      </c>
      <c r="B400" s="1">
        <f t="shared" si="137"/>
        <v>46150</v>
      </c>
      <c r="C400" s="45">
        <f>IF(LEFT(A400,1)="S","",VLOOKUP(B400,$AC$4:$AE$734,3)-'Quoting term rates'!$C$4)</f>
        <v>4.3299999999999998E-2</v>
      </c>
      <c r="D400">
        <f t="shared" si="139"/>
        <v>1.0487769819383832</v>
      </c>
      <c r="E400" s="45">
        <f t="shared" si="131"/>
        <v>4.4342710853075638E-2</v>
      </c>
      <c r="AC400" s="1">
        <f t="shared" si="136"/>
        <v>46150</v>
      </c>
      <c r="AD400">
        <f>IF(VLOOKUP(AC400,'FOMC exp '!$C$6:$C$22,1)=AC400,MATCH(AC400,'FOMC exp '!$C$6:$C$22,1),AD399)</f>
        <v>10</v>
      </c>
      <c r="AE400" s="18" cm="1">
        <f t="array" ref="AE400">INDEX('FOMC exp '!$C$6:$D$23,AD400,2)</f>
        <v>4.4999999999999998E-2</v>
      </c>
    </row>
    <row r="401" spans="1:31">
      <c r="A401" t="str">
        <f t="shared" si="135"/>
        <v>Saturday</v>
      </c>
      <c r="B401" s="1">
        <f t="shared" si="137"/>
        <v>46151</v>
      </c>
      <c r="C401" s="45" t="str">
        <f>IF(LEFT(A401,1)="S","",VLOOKUP(B401,$AC$4:$AE$734,3)-'Quoting term rates'!$C$4)</f>
        <v/>
      </c>
      <c r="E401" s="45" t="str">
        <f t="shared" si="131"/>
        <v/>
      </c>
      <c r="AC401" s="1">
        <f t="shared" si="136"/>
        <v>46151</v>
      </c>
      <c r="AD401">
        <f>IF(VLOOKUP(AC401,'FOMC exp '!$C$6:$C$22,1)=AC401,MATCH(AC401,'FOMC exp '!$C$6:$C$22,1),AD400)</f>
        <v>10</v>
      </c>
      <c r="AE401" s="18" cm="1">
        <f t="array" ref="AE401">INDEX('FOMC exp '!$C$6:$D$23,AD401,2)</f>
        <v>4.4999999999999998E-2</v>
      </c>
    </row>
    <row r="402" spans="1:31">
      <c r="A402" t="str">
        <f t="shared" si="135"/>
        <v>Sunday</v>
      </c>
      <c r="B402" s="1">
        <f t="shared" si="137"/>
        <v>46152</v>
      </c>
      <c r="C402" s="45" t="str">
        <f>IF(LEFT(A402,1)="S","",VLOOKUP(B402,$AC$4:$AE$734,3)-'Quoting term rates'!$C$4)</f>
        <v/>
      </c>
      <c r="E402" s="45" t="str">
        <f t="shared" si="131"/>
        <v/>
      </c>
      <c r="AC402" s="1">
        <f t="shared" si="136"/>
        <v>46152</v>
      </c>
      <c r="AD402">
        <f>IF(VLOOKUP(AC402,'FOMC exp '!$C$6:$C$22,1)=AC402,MATCH(AC402,'FOMC exp '!$C$6:$C$22,1),AD401)</f>
        <v>10</v>
      </c>
      <c r="AE402" s="18" cm="1">
        <f t="array" ref="AE402">INDEX('FOMC exp '!$C$6:$D$23,AD402,2)</f>
        <v>4.4999999999999998E-2</v>
      </c>
    </row>
    <row r="403" spans="1:31">
      <c r="A403" t="str">
        <f t="shared" si="135"/>
        <v>Monday</v>
      </c>
      <c r="B403" s="1">
        <f t="shared" si="137"/>
        <v>46153</v>
      </c>
      <c r="C403" s="45">
        <f>IF(LEFT(A403,1)="S","",VLOOKUP(B403,$AC$4:$AE$734,3)-'Quoting term rates'!$C$4)</f>
        <v>4.3299999999999998E-2</v>
      </c>
      <c r="D403">
        <f t="shared" si="132"/>
        <v>1.0491554156326994</v>
      </c>
      <c r="E403" s="45">
        <f t="shared" si="131"/>
        <v>4.4350750946796483E-2</v>
      </c>
      <c r="AC403" s="1">
        <f t="shared" si="136"/>
        <v>46153</v>
      </c>
      <c r="AD403">
        <f>IF(VLOOKUP(AC403,'FOMC exp '!$C$6:$C$22,1)=AC403,MATCH(AC403,'FOMC exp '!$C$6:$C$22,1),AD402)</f>
        <v>10</v>
      </c>
      <c r="AE403" s="18" cm="1">
        <f t="array" ref="AE403">INDEX('FOMC exp '!$C$6:$D$23,AD403,2)</f>
        <v>4.4999999999999998E-2</v>
      </c>
    </row>
    <row r="404" spans="1:31">
      <c r="A404" t="str">
        <f t="shared" si="135"/>
        <v>Tuesday</v>
      </c>
      <c r="B404" s="1">
        <f t="shared" si="137"/>
        <v>46154</v>
      </c>
      <c r="C404" s="45">
        <f>IF(LEFT(A404,1)="S","",VLOOKUP(B404,$AC$4:$AE$734,3)-'Quoting term rates'!$C$4)</f>
        <v>4.3299999999999998E-2</v>
      </c>
      <c r="D404">
        <f t="shared" ref="D404:D407" si="140">D403*(1+C403*1/360)</f>
        <v>1.0492816057146352</v>
      </c>
      <c r="E404" s="45">
        <f t="shared" si="131"/>
        <v>4.4353445143171723E-2</v>
      </c>
      <c r="AC404" s="1">
        <f t="shared" si="136"/>
        <v>46154</v>
      </c>
      <c r="AD404">
        <f>IF(VLOOKUP(AC404,'FOMC exp '!$C$6:$C$22,1)=AC404,MATCH(AC404,'FOMC exp '!$C$6:$C$22,1),AD403)</f>
        <v>10</v>
      </c>
      <c r="AE404" s="18" cm="1">
        <f t="array" ref="AE404">INDEX('FOMC exp '!$C$6:$D$23,AD404,2)</f>
        <v>4.4999999999999998E-2</v>
      </c>
    </row>
    <row r="405" spans="1:31">
      <c r="A405" t="str">
        <f t="shared" si="135"/>
        <v>Wednesday</v>
      </c>
      <c r="B405" s="1">
        <f t="shared" si="137"/>
        <v>46155</v>
      </c>
      <c r="C405" s="45">
        <f>IF(LEFT(A405,1)="S","",VLOOKUP(B405,$AC$4:$AE$734,3)-'Quoting term rates'!$C$4)</f>
        <v>4.3299999999999998E-2</v>
      </c>
      <c r="D405">
        <f t="shared" si="140"/>
        <v>1.0494078109744338</v>
      </c>
      <c r="E405" s="45">
        <f t="shared" si="131"/>
        <v>4.4356139528170004E-2</v>
      </c>
      <c r="AC405" s="1">
        <f t="shared" si="136"/>
        <v>46155</v>
      </c>
      <c r="AD405">
        <f>IF(VLOOKUP(AC405,'FOMC exp '!$C$6:$C$22,1)=AC405,MATCH(AC405,'FOMC exp '!$C$6:$C$22,1),AD404)</f>
        <v>10</v>
      </c>
      <c r="AE405" s="18" cm="1">
        <f t="array" ref="AE405">INDEX('FOMC exp '!$C$6:$D$23,AD405,2)</f>
        <v>4.4999999999999998E-2</v>
      </c>
    </row>
    <row r="406" spans="1:31">
      <c r="A406" t="str">
        <f t="shared" si="135"/>
        <v>Thursday</v>
      </c>
      <c r="B406" s="1">
        <f t="shared" si="137"/>
        <v>46156</v>
      </c>
      <c r="C406" s="45">
        <f>IF(LEFT(A406,1)="S","",VLOOKUP(B406,$AC$4:$AE$734,3)-'Quoting term rates'!$C$4)</f>
        <v>4.3299999999999998E-2</v>
      </c>
      <c r="D406">
        <f t="shared" si="140"/>
        <v>1.0495340314139205</v>
      </c>
      <c r="E406" s="45">
        <f t="shared" si="131"/>
        <v>4.43588341020184E-2</v>
      </c>
      <c r="AC406" s="1">
        <f t="shared" si="136"/>
        <v>46156</v>
      </c>
      <c r="AD406">
        <f>IF(VLOOKUP(AC406,'FOMC exp '!$C$6:$C$22,1)=AC406,MATCH(AC406,'FOMC exp '!$C$6:$C$22,1),AD405)</f>
        <v>10</v>
      </c>
      <c r="AE406" s="18" cm="1">
        <f t="array" ref="AE406">INDEX('FOMC exp '!$C$6:$D$23,AD406,2)</f>
        <v>4.4999999999999998E-2</v>
      </c>
    </row>
    <row r="407" spans="1:31">
      <c r="A407" t="str">
        <f t="shared" si="135"/>
        <v>Friday</v>
      </c>
      <c r="B407" s="1">
        <f t="shared" si="137"/>
        <v>46157</v>
      </c>
      <c r="C407" s="45">
        <f>IF(LEFT(A407,1)="S","",VLOOKUP(B407,$AC$4:$AE$734,3)-'Quoting term rates'!$C$4)</f>
        <v>4.3299999999999998E-2</v>
      </c>
      <c r="D407">
        <f t="shared" si="140"/>
        <v>1.0496602670349211</v>
      </c>
      <c r="E407" s="45">
        <f t="shared" si="131"/>
        <v>4.4361528864941928E-2</v>
      </c>
      <c r="AC407" s="1">
        <f t="shared" si="136"/>
        <v>46157</v>
      </c>
      <c r="AD407">
        <f>IF(VLOOKUP(AC407,'FOMC exp '!$C$6:$C$22,1)=AC407,MATCH(AC407,'FOMC exp '!$C$6:$C$22,1),AD406)</f>
        <v>10</v>
      </c>
      <c r="AE407" s="18" cm="1">
        <f t="array" ref="AE407">INDEX('FOMC exp '!$C$6:$D$23,AD407,2)</f>
        <v>4.4999999999999998E-2</v>
      </c>
    </row>
    <row r="408" spans="1:31">
      <c r="A408" t="str">
        <f t="shared" si="135"/>
        <v>Saturday</v>
      </c>
      <c r="B408" s="1">
        <f t="shared" si="137"/>
        <v>46158</v>
      </c>
      <c r="C408" s="45" t="str">
        <f>IF(LEFT(A408,1)="S","",VLOOKUP(B408,$AC$4:$AE$734,3)-'Quoting term rates'!$C$4)</f>
        <v/>
      </c>
      <c r="E408" s="45" t="str">
        <f t="shared" si="131"/>
        <v/>
      </c>
      <c r="AC408" s="1">
        <f t="shared" si="136"/>
        <v>46158</v>
      </c>
      <c r="AD408">
        <f>IF(VLOOKUP(AC408,'FOMC exp '!$C$6:$C$22,1)=AC408,MATCH(AC408,'FOMC exp '!$C$6:$C$22,1),AD407)</f>
        <v>10</v>
      </c>
      <c r="AE408" s="18" cm="1">
        <f t="array" ref="AE408">INDEX('FOMC exp '!$C$6:$D$23,AD408,2)</f>
        <v>4.4999999999999998E-2</v>
      </c>
    </row>
    <row r="409" spans="1:31">
      <c r="A409" t="str">
        <f t="shared" si="135"/>
        <v>Sunday</v>
      </c>
      <c r="B409" s="1">
        <f t="shared" si="137"/>
        <v>46159</v>
      </c>
      <c r="C409" s="45" t="str">
        <f>IF(LEFT(A409,1)="S","",VLOOKUP(B409,$AC$4:$AE$734,3)-'Quoting term rates'!$C$4)</f>
        <v/>
      </c>
      <c r="E409" s="45" t="str">
        <f t="shared" si="131"/>
        <v/>
      </c>
      <c r="AC409" s="1">
        <f t="shared" si="136"/>
        <v>46159</v>
      </c>
      <c r="AD409">
        <f>IF(VLOOKUP(AC409,'FOMC exp '!$C$6:$C$22,1)=AC409,MATCH(AC409,'FOMC exp '!$C$6:$C$22,1),AD408)</f>
        <v>10</v>
      </c>
      <c r="AE409" s="18" cm="1">
        <f t="array" ref="AE409">INDEX('FOMC exp '!$C$6:$D$23,AD409,2)</f>
        <v>4.4999999999999998E-2</v>
      </c>
    </row>
    <row r="410" spans="1:31">
      <c r="A410" t="str">
        <f t="shared" si="135"/>
        <v>Monday</v>
      </c>
      <c r="B410" s="1">
        <f t="shared" si="137"/>
        <v>46160</v>
      </c>
      <c r="C410" s="45">
        <f>IF(LEFT(A410,1)="S","",VLOOKUP(B410,$AC$4:$AE$734,3)-'Quoting term rates'!$C$4)</f>
        <v>4.3299999999999998E-2</v>
      </c>
      <c r="D410">
        <f t="shared" si="132"/>
        <v>1.050039019447943</v>
      </c>
      <c r="E410" s="45">
        <f t="shared" si="131"/>
        <v>4.436957389472776E-2</v>
      </c>
      <c r="AC410" s="1">
        <f t="shared" si="136"/>
        <v>46160</v>
      </c>
      <c r="AD410">
        <f>IF(VLOOKUP(AC410,'FOMC exp '!$C$6:$C$22,1)=AC410,MATCH(AC410,'FOMC exp '!$C$6:$C$22,1),AD409)</f>
        <v>10</v>
      </c>
      <c r="AE410" s="18" cm="1">
        <f t="array" ref="AE410">INDEX('FOMC exp '!$C$6:$D$23,AD410,2)</f>
        <v>4.4999999999999998E-2</v>
      </c>
    </row>
    <row r="411" spans="1:31">
      <c r="A411" t="str">
        <f t="shared" si="135"/>
        <v>Tuesday</v>
      </c>
      <c r="B411" s="1">
        <f t="shared" si="137"/>
        <v>46161</v>
      </c>
      <c r="C411" s="45">
        <f>IF(LEFT(A411,1)="S","",VLOOKUP(B411,$AC$4:$AE$734,3)-'Quoting term rates'!$C$4)</f>
        <v>4.3299999999999998E-2</v>
      </c>
      <c r="D411">
        <f t="shared" ref="D411:D414" si="141">D410*(1+C410*1/360)</f>
        <v>1.0501653158077822</v>
      </c>
      <c r="E411" s="45">
        <f t="shared" si="131"/>
        <v>4.4372269510568996E-2</v>
      </c>
      <c r="AC411" s="1">
        <f t="shared" si="136"/>
        <v>46161</v>
      </c>
      <c r="AD411">
        <f>IF(VLOOKUP(AC411,'FOMC exp '!$C$6:$C$22,1)=AC411,MATCH(AC411,'FOMC exp '!$C$6:$C$22,1),AD410)</f>
        <v>10</v>
      </c>
      <c r="AE411" s="18" cm="1">
        <f t="array" ref="AE411">INDEX('FOMC exp '!$C$6:$D$23,AD411,2)</f>
        <v>4.4999999999999998E-2</v>
      </c>
    </row>
    <row r="412" spans="1:31">
      <c r="A412" t="str">
        <f t="shared" si="135"/>
        <v>Wednesday</v>
      </c>
      <c r="B412" s="1">
        <f t="shared" si="137"/>
        <v>46162</v>
      </c>
      <c r="C412" s="45">
        <f>IF(LEFT(A412,1)="S","",VLOOKUP(B412,$AC$4:$AE$734,3)-'Quoting term rates'!$C$4)</f>
        <v>4.3299999999999998E-2</v>
      </c>
      <c r="D412">
        <f t="shared" si="141"/>
        <v>1.0502916273582668</v>
      </c>
      <c r="E412" s="45">
        <f t="shared" si="131"/>
        <v>4.4374965316117725E-2</v>
      </c>
      <c r="AC412" s="1">
        <f t="shared" si="136"/>
        <v>46162</v>
      </c>
      <c r="AD412">
        <f>IF(VLOOKUP(AC412,'FOMC exp '!$C$6:$C$22,1)=AC412,MATCH(AC412,'FOMC exp '!$C$6:$C$22,1),AD411)</f>
        <v>10</v>
      </c>
      <c r="AE412" s="18" cm="1">
        <f t="array" ref="AE412">INDEX('FOMC exp '!$C$6:$D$23,AD412,2)</f>
        <v>4.4999999999999998E-2</v>
      </c>
    </row>
    <row r="413" spans="1:31">
      <c r="A413" t="str">
        <f t="shared" si="135"/>
        <v>Thursday</v>
      </c>
      <c r="B413" s="1">
        <f t="shared" si="137"/>
        <v>46163</v>
      </c>
      <c r="C413" s="45">
        <f>IF(LEFT(A413,1)="S","",VLOOKUP(B413,$AC$4:$AE$734,3)-'Quoting term rates'!$C$4)</f>
        <v>4.3299999999999998E-2</v>
      </c>
      <c r="D413">
        <f t="shared" si="141"/>
        <v>1.050417954101224</v>
      </c>
      <c r="E413" s="45">
        <f t="shared" si="131"/>
        <v>4.437766131159078E-2</v>
      </c>
      <c r="AC413" s="1">
        <f t="shared" si="136"/>
        <v>46163</v>
      </c>
      <c r="AD413">
        <f>IF(VLOOKUP(AC413,'FOMC exp '!$C$6:$C$22,1)=AC413,MATCH(AC413,'FOMC exp '!$C$6:$C$22,1),AD412)</f>
        <v>10</v>
      </c>
      <c r="AE413" s="18" cm="1">
        <f t="array" ref="AE413">INDEX('FOMC exp '!$C$6:$D$23,AD413,2)</f>
        <v>4.4999999999999998E-2</v>
      </c>
    </row>
    <row r="414" spans="1:31">
      <c r="A414" t="str">
        <f t="shared" si="135"/>
        <v>Friday</v>
      </c>
      <c r="B414" s="1">
        <f t="shared" si="137"/>
        <v>46164</v>
      </c>
      <c r="C414" s="45">
        <f>IF(LEFT(A414,1)="S","",VLOOKUP(B414,$AC$4:$AE$734,3)-'Quoting term rates'!$C$4)</f>
        <v>4.3299999999999998E-2</v>
      </c>
      <c r="D414">
        <f t="shared" si="141"/>
        <v>1.0505442960384812</v>
      </c>
      <c r="E414" s="45">
        <f t="shared" si="131"/>
        <v>4.438035749720301E-2</v>
      </c>
      <c r="AC414" s="1">
        <f t="shared" si="136"/>
        <v>46164</v>
      </c>
      <c r="AD414">
        <f>IF(VLOOKUP(AC414,'FOMC exp '!$C$6:$C$22,1)=AC414,MATCH(AC414,'FOMC exp '!$C$6:$C$22,1),AD413)</f>
        <v>10</v>
      </c>
      <c r="AE414" s="18" cm="1">
        <f t="array" ref="AE414">INDEX('FOMC exp '!$C$6:$D$23,AD414,2)</f>
        <v>4.4999999999999998E-2</v>
      </c>
    </row>
    <row r="415" spans="1:31">
      <c r="A415" t="str">
        <f t="shared" si="135"/>
        <v>Saturday</v>
      </c>
      <c r="B415" s="1">
        <f t="shared" si="137"/>
        <v>46165</v>
      </c>
      <c r="C415" s="45" t="str">
        <f>IF(LEFT(A415,1)="S","",VLOOKUP(B415,$AC$4:$AE$734,3)-'Quoting term rates'!$C$4)</f>
        <v/>
      </c>
      <c r="E415" s="45" t="str">
        <f t="shared" si="131"/>
        <v/>
      </c>
      <c r="AC415" s="1">
        <f t="shared" si="136"/>
        <v>46165</v>
      </c>
      <c r="AD415">
        <f>IF(VLOOKUP(AC415,'FOMC exp '!$C$6:$C$22,1)=AC415,MATCH(AC415,'FOMC exp '!$C$6:$C$22,1),AD414)</f>
        <v>10</v>
      </c>
      <c r="AE415" s="18" cm="1">
        <f t="array" ref="AE415">INDEX('FOMC exp '!$C$6:$D$23,AD415,2)</f>
        <v>4.4999999999999998E-2</v>
      </c>
    </row>
    <row r="416" spans="1:31">
      <c r="A416" t="str">
        <f t="shared" si="135"/>
        <v>Sunday</v>
      </c>
      <c r="B416" s="1">
        <f t="shared" si="137"/>
        <v>46166</v>
      </c>
      <c r="C416" s="45" t="str">
        <f>IF(LEFT(A416,1)="S","",VLOOKUP(B416,$AC$4:$AE$734,3)-'Quoting term rates'!$C$4)</f>
        <v/>
      </c>
      <c r="E416" s="45" t="str">
        <f t="shared" si="131"/>
        <v/>
      </c>
      <c r="AC416" s="1">
        <f t="shared" si="136"/>
        <v>46166</v>
      </c>
      <c r="AD416">
        <f>IF(VLOOKUP(AC416,'FOMC exp '!$C$6:$C$22,1)=AC416,MATCH(AC416,'FOMC exp '!$C$6:$C$22,1),AD415)</f>
        <v>10</v>
      </c>
      <c r="AE416" s="18" cm="1">
        <f t="array" ref="AE416">INDEX('FOMC exp '!$C$6:$D$23,AD416,2)</f>
        <v>4.4999999999999998E-2</v>
      </c>
    </row>
    <row r="417" spans="1:31">
      <c r="A417" t="str">
        <f t="shared" si="135"/>
        <v>Monday</v>
      </c>
      <c r="B417" s="1">
        <f t="shared" si="137"/>
        <v>46167</v>
      </c>
      <c r="C417" s="45">
        <f>IF(LEFT(A417,1)="S","",VLOOKUP(B417,$AC$4:$AE$734,3)-'Quoting term rates'!$C$4)</f>
        <v>4.3299999999999998E-2</v>
      </c>
      <c r="D417">
        <f t="shared" si="132"/>
        <v>1.0509233674386351</v>
      </c>
      <c r="E417" s="45">
        <f t="shared" si="131"/>
        <v>4.4388407452563304E-2</v>
      </c>
      <c r="AC417" s="1">
        <f t="shared" si="136"/>
        <v>46167</v>
      </c>
      <c r="AD417">
        <f>IF(VLOOKUP(AC417,'FOMC exp '!$C$6:$C$22,1)=AC417,MATCH(AC417,'FOMC exp '!$C$6:$C$22,1),AD416)</f>
        <v>10</v>
      </c>
      <c r="AE417" s="18" cm="1">
        <f t="array" ref="AE417">INDEX('FOMC exp '!$C$6:$D$23,AD417,2)</f>
        <v>4.4999999999999998E-2</v>
      </c>
    </row>
    <row r="418" spans="1:31">
      <c r="A418" t="str">
        <f t="shared" si="135"/>
        <v>Tuesday</v>
      </c>
      <c r="B418" s="1">
        <f t="shared" si="137"/>
        <v>46168</v>
      </c>
      <c r="C418" s="45">
        <f>IF(LEFT(A418,1)="S","",VLOOKUP(B418,$AC$4:$AE$734,3)-'Quoting term rates'!$C$4)</f>
        <v>4.3299999999999998E-2</v>
      </c>
      <c r="D418">
        <f t="shared" ref="D418:D421" si="142">D417*(1+C417*1/360)</f>
        <v>1.0510497701658854</v>
      </c>
      <c r="E418" s="45">
        <f t="shared" si="131"/>
        <v>4.4391104492074278E-2</v>
      </c>
      <c r="AC418" s="1">
        <f t="shared" si="136"/>
        <v>46168</v>
      </c>
      <c r="AD418">
        <f>IF(VLOOKUP(AC418,'FOMC exp '!$C$6:$C$22,1)=AC418,MATCH(AC418,'FOMC exp '!$C$6:$C$22,1),AD417)</f>
        <v>10</v>
      </c>
      <c r="AE418" s="18" cm="1">
        <f t="array" ref="AE418">INDEX('FOMC exp '!$C$6:$D$23,AD418,2)</f>
        <v>4.4999999999999998E-2</v>
      </c>
    </row>
    <row r="419" spans="1:31">
      <c r="A419" t="str">
        <f t="shared" si="135"/>
        <v>Wednesday</v>
      </c>
      <c r="B419" s="1">
        <f t="shared" si="137"/>
        <v>46169</v>
      </c>
      <c r="C419" s="45">
        <f>IF(LEFT(A419,1)="S","",VLOOKUP(B419,$AC$4:$AE$734,3)-'Quoting term rates'!$C$4)</f>
        <v>4.3299999999999998E-2</v>
      </c>
      <c r="D419">
        <f t="shared" si="142"/>
        <v>1.0511761880965749</v>
      </c>
      <c r="E419" s="45">
        <f t="shared" si="131"/>
        <v>4.4393801722330005E-2</v>
      </c>
      <c r="AC419" s="1">
        <f t="shared" si="136"/>
        <v>46169</v>
      </c>
      <c r="AD419">
        <f>IF(VLOOKUP(AC419,'FOMC exp '!$C$6:$C$22,1)=AC419,MATCH(AC419,'FOMC exp '!$C$6:$C$22,1),AD418)</f>
        <v>10</v>
      </c>
      <c r="AE419" s="18" cm="1">
        <f t="array" ref="AE419">INDEX('FOMC exp '!$C$6:$D$23,AD419,2)</f>
        <v>4.4999999999999998E-2</v>
      </c>
    </row>
    <row r="420" spans="1:31">
      <c r="A420" t="str">
        <f t="shared" si="135"/>
        <v>Thursday</v>
      </c>
      <c r="B420" s="1">
        <f t="shared" si="137"/>
        <v>46170</v>
      </c>
      <c r="C420" s="45">
        <f>IF(LEFT(A420,1)="S","",VLOOKUP(B420,$AC$4:$AE$734,3)-'Quoting term rates'!$C$4)</f>
        <v>4.3299999999999998E-2</v>
      </c>
      <c r="D420">
        <f t="shared" si="142"/>
        <v>1.051302621232532</v>
      </c>
      <c r="E420" s="45">
        <f t="shared" si="131"/>
        <v>4.4396499143537341E-2</v>
      </c>
      <c r="AC420" s="1">
        <f t="shared" si="136"/>
        <v>46170</v>
      </c>
      <c r="AD420">
        <f>IF(VLOOKUP(AC420,'FOMC exp '!$C$6:$C$22,1)=AC420,MATCH(AC420,'FOMC exp '!$C$6:$C$22,1),AD419)</f>
        <v>10</v>
      </c>
      <c r="AE420" s="18" cm="1">
        <f t="array" ref="AE420">INDEX('FOMC exp '!$C$6:$D$23,AD420,2)</f>
        <v>4.4999999999999998E-2</v>
      </c>
    </row>
    <row r="421" spans="1:31">
      <c r="A421" t="str">
        <f t="shared" si="135"/>
        <v>Friday</v>
      </c>
      <c r="B421" s="1">
        <f t="shared" si="137"/>
        <v>46171</v>
      </c>
      <c r="C421" s="45">
        <f>IF(LEFT(A421,1)="S","",VLOOKUP(B421,$AC$4:$AE$734,3)-'Quoting term rates'!$C$4)</f>
        <v>4.3299999999999998E-2</v>
      </c>
      <c r="D421">
        <f t="shared" si="142"/>
        <v>1.0514290695755859</v>
      </c>
      <c r="E421" s="45">
        <f t="shared" si="131"/>
        <v>4.4399196755901503E-2</v>
      </c>
      <c r="AC421" s="1">
        <f t="shared" si="136"/>
        <v>46171</v>
      </c>
      <c r="AD421">
        <f>IF(VLOOKUP(AC421,'FOMC exp '!$C$6:$C$22,1)=AC421,MATCH(AC421,'FOMC exp '!$C$6:$C$22,1),AD420)</f>
        <v>10</v>
      </c>
      <c r="AE421" s="18" cm="1">
        <f t="array" ref="AE421">INDEX('FOMC exp '!$C$6:$D$23,AD421,2)</f>
        <v>4.4999999999999998E-2</v>
      </c>
    </row>
    <row r="422" spans="1:31">
      <c r="A422" t="str">
        <f t="shared" si="135"/>
        <v>Saturday</v>
      </c>
      <c r="B422" s="1">
        <f t="shared" si="137"/>
        <v>46172</v>
      </c>
      <c r="C422" s="45" t="str">
        <f>IF(LEFT(A422,1)="S","",VLOOKUP(B422,$AC$4:$AE$734,3)-'Quoting term rates'!$C$4)</f>
        <v/>
      </c>
      <c r="E422" s="45" t="str">
        <f t="shared" si="131"/>
        <v/>
      </c>
      <c r="AC422" s="1">
        <f t="shared" si="136"/>
        <v>46172</v>
      </c>
      <c r="AD422">
        <f>IF(VLOOKUP(AC422,'FOMC exp '!$C$6:$C$22,1)=AC422,MATCH(AC422,'FOMC exp '!$C$6:$C$22,1),AD421)</f>
        <v>10</v>
      </c>
      <c r="AE422" s="18" cm="1">
        <f t="array" ref="AE422">INDEX('FOMC exp '!$C$6:$D$23,AD422,2)</f>
        <v>4.4999999999999998E-2</v>
      </c>
    </row>
    <row r="423" spans="1:31">
      <c r="A423" t="str">
        <f t="shared" si="135"/>
        <v>Sunday</v>
      </c>
      <c r="B423" s="1">
        <f t="shared" si="137"/>
        <v>46173</v>
      </c>
      <c r="C423" s="45" t="str">
        <f>IF(LEFT(A423,1)="S","",VLOOKUP(B423,$AC$4:$AE$734,3)-'Quoting term rates'!$C$4)</f>
        <v/>
      </c>
      <c r="E423" s="45" t="str">
        <f t="shared" si="131"/>
        <v/>
      </c>
      <c r="AC423" s="1">
        <f t="shared" si="136"/>
        <v>46173</v>
      </c>
      <c r="AD423">
        <f>IF(VLOOKUP(AC423,'FOMC exp '!$C$6:$C$22,1)=AC423,MATCH(AC423,'FOMC exp '!$C$6:$C$22,1),AD422)</f>
        <v>10</v>
      </c>
      <c r="AE423" s="18" cm="1">
        <f t="array" ref="AE423">INDEX('FOMC exp '!$C$6:$D$23,AD423,2)</f>
        <v>4.4999999999999998E-2</v>
      </c>
    </row>
    <row r="424" spans="1:31">
      <c r="A424" t="str">
        <f t="shared" si="135"/>
        <v>Monday</v>
      </c>
      <c r="B424" s="1">
        <f t="shared" si="137"/>
        <v>46174</v>
      </c>
      <c r="C424" s="45">
        <f>IF(LEFT(A424,1)="S","",VLOOKUP(B424,$AC$4:$AE$734,3)-'Quoting term rates'!$C$4)</f>
        <v>4.3299999999999998E-2</v>
      </c>
      <c r="D424">
        <f t="shared" si="132"/>
        <v>1.0518084602315245</v>
      </c>
      <c r="E424" s="45">
        <f t="shared" si="131"/>
        <v>4.4407251627021013E-2</v>
      </c>
      <c r="AC424" s="1">
        <f t="shared" si="136"/>
        <v>46174</v>
      </c>
      <c r="AD424">
        <f>IF(VLOOKUP(AC424,'FOMC exp '!$C$6:$C$22,1)=AC424,MATCH(AC424,'FOMC exp '!$C$6:$C$22,1),AD423)</f>
        <v>10</v>
      </c>
      <c r="AE424" s="18" cm="1">
        <f t="array" ref="AE424">INDEX('FOMC exp '!$C$6:$D$23,AD424,2)</f>
        <v>4.4999999999999998E-2</v>
      </c>
    </row>
    <row r="425" spans="1:31">
      <c r="A425" t="str">
        <f t="shared" si="135"/>
        <v>Tuesday</v>
      </c>
      <c r="B425" s="1">
        <f t="shared" si="137"/>
        <v>46175</v>
      </c>
      <c r="C425" s="45">
        <f>IF(LEFT(A425,1)="S","",VLOOKUP(B425,$AC$4:$AE$734,3)-'Quoting term rates'!$C$4)</f>
        <v>4.3299999999999998E-2</v>
      </c>
      <c r="D425">
        <f t="shared" ref="D425:D428" si="143">D424*(1+C424*1/360)</f>
        <v>1.0519349694157691</v>
      </c>
      <c r="E425" s="45">
        <f t="shared" si="131"/>
        <v>4.4409950094244394E-2</v>
      </c>
      <c r="AC425" s="1">
        <f t="shared" si="136"/>
        <v>46175</v>
      </c>
      <c r="AD425">
        <f>IF(VLOOKUP(AC425,'FOMC exp '!$C$6:$C$22,1)=AC425,MATCH(AC425,'FOMC exp '!$C$6:$C$22,1),AD424)</f>
        <v>10</v>
      </c>
      <c r="AE425" s="18" cm="1">
        <f t="array" ref="AE425">INDEX('FOMC exp '!$C$6:$D$23,AD425,2)</f>
        <v>4.4999999999999998E-2</v>
      </c>
    </row>
    <row r="426" spans="1:31">
      <c r="A426" t="str">
        <f t="shared" si="135"/>
        <v>Wednesday</v>
      </c>
      <c r="B426" s="1">
        <f t="shared" si="137"/>
        <v>46176</v>
      </c>
      <c r="C426" s="45">
        <f>IF(LEFT(A426,1)="S","",VLOOKUP(B426,$AC$4:$AE$734,3)-'Quoting term rates'!$C$4)</f>
        <v>4.3299999999999998E-2</v>
      </c>
      <c r="D426">
        <f t="shared" si="143"/>
        <v>1.0520614938162571</v>
      </c>
      <c r="E426" s="45">
        <f t="shared" si="131"/>
        <v>4.4412648753205143E-2</v>
      </c>
      <c r="AC426" s="1">
        <f t="shared" si="136"/>
        <v>46176</v>
      </c>
      <c r="AD426">
        <f>IF(VLOOKUP(AC426,'FOMC exp '!$C$6:$C$22,1)=AC426,MATCH(AC426,'FOMC exp '!$C$6:$C$22,1),AD425)</f>
        <v>10</v>
      </c>
      <c r="AE426" s="18" cm="1">
        <f t="array" ref="AE426">INDEX('FOMC exp '!$C$6:$D$23,AD426,2)</f>
        <v>4.4999999999999998E-2</v>
      </c>
    </row>
    <row r="427" spans="1:31">
      <c r="A427" t="str">
        <f t="shared" si="135"/>
        <v>Thursday</v>
      </c>
      <c r="B427" s="1">
        <f t="shared" si="137"/>
        <v>46177</v>
      </c>
      <c r="C427" s="45">
        <f>IF(LEFT(A427,1)="S","",VLOOKUP(B427,$AC$4:$AE$734,3)-'Quoting term rates'!$C$4)</f>
        <v>4.3299999999999998E-2</v>
      </c>
      <c r="D427">
        <f t="shared" si="143"/>
        <v>1.052188033434819</v>
      </c>
      <c r="E427" s="45">
        <f t="shared" si="131"/>
        <v>4.4415347604101305E-2</v>
      </c>
      <c r="AC427" s="1">
        <f t="shared" si="136"/>
        <v>46177</v>
      </c>
      <c r="AD427">
        <f>IF(VLOOKUP(AC427,'FOMC exp '!$C$6:$C$22,1)=AC427,MATCH(AC427,'FOMC exp '!$C$6:$C$22,1),AD426)</f>
        <v>10</v>
      </c>
      <c r="AE427" s="18" cm="1">
        <f t="array" ref="AE427">INDEX('FOMC exp '!$C$6:$D$23,AD427,2)</f>
        <v>4.4999999999999998E-2</v>
      </c>
    </row>
    <row r="428" spans="1:31">
      <c r="A428" t="str">
        <f t="shared" si="135"/>
        <v>Friday</v>
      </c>
      <c r="B428" s="1">
        <f t="shared" si="137"/>
        <v>46178</v>
      </c>
      <c r="C428" s="45">
        <f>IF(LEFT(A428,1)="S","",VLOOKUP(B428,$AC$4:$AE$734,3)-'Quoting term rates'!$C$4)</f>
        <v>4.3299999999999998E-2</v>
      </c>
      <c r="D428">
        <f t="shared" si="143"/>
        <v>1.0523145882732849</v>
      </c>
      <c r="E428" s="45">
        <f t="shared" si="131"/>
        <v>4.4418046647128728E-2</v>
      </c>
      <c r="AC428" s="1">
        <f t="shared" si="136"/>
        <v>46178</v>
      </c>
      <c r="AD428">
        <f>IF(VLOOKUP(AC428,'FOMC exp '!$C$6:$C$22,1)=AC428,MATCH(AC428,'FOMC exp '!$C$6:$C$22,1),AD427)</f>
        <v>10</v>
      </c>
      <c r="AE428" s="18" cm="1">
        <f t="array" ref="AE428">INDEX('FOMC exp '!$C$6:$D$23,AD428,2)</f>
        <v>4.4999999999999998E-2</v>
      </c>
    </row>
    <row r="429" spans="1:31">
      <c r="A429" t="str">
        <f t="shared" si="135"/>
        <v>Saturday</v>
      </c>
      <c r="B429" s="1">
        <f t="shared" si="137"/>
        <v>46179</v>
      </c>
      <c r="C429" s="45" t="str">
        <f>IF(LEFT(A429,1)="S","",VLOOKUP(B429,$AC$4:$AE$734,3)-'Quoting term rates'!$C$4)</f>
        <v/>
      </c>
      <c r="E429" s="45" t="str">
        <f t="shared" si="131"/>
        <v/>
      </c>
      <c r="AC429" s="1">
        <f t="shared" si="136"/>
        <v>46179</v>
      </c>
      <c r="AD429">
        <f>IF(VLOOKUP(AC429,'FOMC exp '!$C$6:$C$22,1)=AC429,MATCH(AC429,'FOMC exp '!$C$6:$C$22,1),AD428)</f>
        <v>10</v>
      </c>
      <c r="AE429" s="18" cm="1">
        <f t="array" ref="AE429">INDEX('FOMC exp '!$C$6:$D$23,AD429,2)</f>
        <v>4.4999999999999998E-2</v>
      </c>
    </row>
    <row r="430" spans="1:31">
      <c r="A430" t="str">
        <f t="shared" si="135"/>
        <v>Sunday</v>
      </c>
      <c r="B430" s="1">
        <f t="shared" si="137"/>
        <v>46180</v>
      </c>
      <c r="C430" s="45" t="str">
        <f>IF(LEFT(A430,1)="S","",VLOOKUP(B430,$AC$4:$AE$734,3)-'Quoting term rates'!$C$4)</f>
        <v/>
      </c>
      <c r="E430" s="45" t="str">
        <f t="shared" si="131"/>
        <v/>
      </c>
      <c r="AC430" s="1">
        <f t="shared" si="136"/>
        <v>46180</v>
      </c>
      <c r="AD430">
        <f>IF(VLOOKUP(AC430,'FOMC exp '!$C$6:$C$22,1)=AC430,MATCH(AC430,'FOMC exp '!$C$6:$C$22,1),AD429)</f>
        <v>10</v>
      </c>
      <c r="AE430" s="18" cm="1">
        <f t="array" ref="AE430">INDEX('FOMC exp '!$C$6:$D$23,AD430,2)</f>
        <v>4.4999999999999998E-2</v>
      </c>
    </row>
    <row r="431" spans="1:31">
      <c r="A431" t="str">
        <f t="shared" si="135"/>
        <v>Monday</v>
      </c>
      <c r="B431" s="1">
        <f t="shared" si="137"/>
        <v>46181</v>
      </c>
      <c r="C431" s="45">
        <f>IF(LEFT(A431,1)="S","",VLOOKUP(B431,$AC$4:$AE$734,3)-'Quoting term rates'!$C$4)</f>
        <v>4.3299999999999998E-2</v>
      </c>
      <c r="D431">
        <f t="shared" si="132"/>
        <v>1.052694298453887</v>
      </c>
      <c r="E431" s="45">
        <f t="shared" si="131"/>
        <v>4.4426106424822732E-2</v>
      </c>
      <c r="AC431" s="1">
        <f t="shared" si="136"/>
        <v>46181</v>
      </c>
      <c r="AD431">
        <f>IF(VLOOKUP(AC431,'FOMC exp '!$C$6:$C$22,1)=AC431,MATCH(AC431,'FOMC exp '!$C$6:$C$22,1),AD430)</f>
        <v>10</v>
      </c>
      <c r="AE431" s="18" cm="1">
        <f t="array" ref="AE431">INDEX('FOMC exp '!$C$6:$D$23,AD431,2)</f>
        <v>4.4999999999999998E-2</v>
      </c>
    </row>
    <row r="432" spans="1:31">
      <c r="A432" t="str">
        <f t="shared" si="135"/>
        <v>Tuesday</v>
      </c>
      <c r="B432" s="1">
        <f t="shared" si="137"/>
        <v>46182</v>
      </c>
      <c r="C432" s="45">
        <f>IF(LEFT(A432,1)="S","",VLOOKUP(B432,$AC$4:$AE$734,3)-'Quoting term rates'!$C$4)</f>
        <v>4.3299999999999998E-2</v>
      </c>
      <c r="D432">
        <f t="shared" ref="D432:D435" si="144">D431*(1+C431*1/360)</f>
        <v>1.0528209141847844</v>
      </c>
      <c r="E432" s="45">
        <f t="shared" si="131"/>
        <v>4.4428806323650434E-2</v>
      </c>
      <c r="AC432" s="1">
        <f t="shared" si="136"/>
        <v>46182</v>
      </c>
      <c r="AD432">
        <f>IF(VLOOKUP(AC432,'FOMC exp '!$C$6:$C$22,1)=AC432,MATCH(AC432,'FOMC exp '!$C$6:$C$22,1),AD431)</f>
        <v>10</v>
      </c>
      <c r="AE432" s="18" cm="1">
        <f t="array" ref="AE432">INDEX('FOMC exp '!$C$6:$D$23,AD432,2)</f>
        <v>4.4999999999999998E-2</v>
      </c>
    </row>
    <row r="433" spans="1:31">
      <c r="A433" t="str">
        <f t="shared" si="135"/>
        <v>Wednesday</v>
      </c>
      <c r="B433" s="1">
        <f t="shared" si="137"/>
        <v>46183</v>
      </c>
      <c r="C433" s="45">
        <f>IF(LEFT(A433,1)="S","",VLOOKUP(B433,$AC$4:$AE$734,3)-'Quoting term rates'!$C$4)</f>
        <v>4.3299999999999998E-2</v>
      </c>
      <c r="D433">
        <f t="shared" si="144"/>
        <v>1.0529475451447405</v>
      </c>
      <c r="E433" s="45">
        <f t="shared" ref="E433:E496" si="145">IF((D433-1)*360/(B433-$B$4)&lt;0,"",(D433-1)*360/(B433-$B$4))</f>
        <v>4.4431506415166883E-2</v>
      </c>
      <c r="AC433" s="1">
        <f t="shared" si="136"/>
        <v>46183</v>
      </c>
      <c r="AD433">
        <f>IF(VLOOKUP(AC433,'FOMC exp '!$C$6:$C$22,1)=AC433,MATCH(AC433,'FOMC exp '!$C$6:$C$22,1),AD432)</f>
        <v>10</v>
      </c>
      <c r="AE433" s="18" cm="1">
        <f t="array" ref="AE433">INDEX('FOMC exp '!$C$6:$D$23,AD433,2)</f>
        <v>4.4999999999999998E-2</v>
      </c>
    </row>
    <row r="434" spans="1:31">
      <c r="A434" t="str">
        <f t="shared" si="135"/>
        <v>Thursday</v>
      </c>
      <c r="B434" s="1">
        <f t="shared" si="137"/>
        <v>46184</v>
      </c>
      <c r="C434" s="45">
        <f>IF(LEFT(A434,1)="S","",VLOOKUP(B434,$AC$4:$AE$734,3)-'Quoting term rates'!$C$4)</f>
        <v>4.3299999999999998E-2</v>
      </c>
      <c r="D434">
        <f t="shared" si="144"/>
        <v>1.0530741913355872</v>
      </c>
      <c r="E434" s="45">
        <f t="shared" si="145"/>
        <v>4.4434206699561385E-2</v>
      </c>
      <c r="AC434" s="1">
        <f t="shared" si="136"/>
        <v>46184</v>
      </c>
      <c r="AD434">
        <f>IF(VLOOKUP(AC434,'FOMC exp '!$C$6:$C$22,1)=AC434,MATCH(AC434,'FOMC exp '!$C$6:$C$22,1),AD433)</f>
        <v>10</v>
      </c>
      <c r="AE434" s="18" cm="1">
        <f t="array" ref="AE434">INDEX('FOMC exp '!$C$6:$D$23,AD434,2)</f>
        <v>4.4999999999999998E-2</v>
      </c>
    </row>
    <row r="435" spans="1:31">
      <c r="A435" t="str">
        <f t="shared" si="135"/>
        <v>Friday</v>
      </c>
      <c r="B435" s="1">
        <f t="shared" si="137"/>
        <v>46185</v>
      </c>
      <c r="C435" s="45">
        <f>IF(LEFT(A435,1)="S","",VLOOKUP(B435,$AC$4:$AE$734,3)-'Quoting term rates'!$C$4)</f>
        <v>4.3299999999999998E-2</v>
      </c>
      <c r="D435">
        <f t="shared" si="144"/>
        <v>1.0532008527591563</v>
      </c>
      <c r="E435" s="45">
        <f t="shared" si="145"/>
        <v>4.4436907177021513E-2</v>
      </c>
      <c r="AC435" s="1">
        <f t="shared" si="136"/>
        <v>46185</v>
      </c>
      <c r="AD435">
        <f>IF(VLOOKUP(AC435,'FOMC exp '!$C$6:$C$22,1)=AC435,MATCH(AC435,'FOMC exp '!$C$6:$C$22,1),AD434)</f>
        <v>10</v>
      </c>
      <c r="AE435" s="18" cm="1">
        <f t="array" ref="AE435">INDEX('FOMC exp '!$C$6:$D$23,AD435,2)</f>
        <v>4.4999999999999998E-2</v>
      </c>
    </row>
    <row r="436" spans="1:31">
      <c r="A436" t="str">
        <f t="shared" si="135"/>
        <v>Saturday</v>
      </c>
      <c r="B436" s="1">
        <f t="shared" si="137"/>
        <v>46186</v>
      </c>
      <c r="C436" s="45" t="str">
        <f>IF(LEFT(A436,1)="S","",VLOOKUP(B436,$AC$4:$AE$734,3)-'Quoting term rates'!$C$4)</f>
        <v/>
      </c>
      <c r="E436" s="45" t="str">
        <f t="shared" si="145"/>
        <v/>
      </c>
      <c r="AC436" s="1">
        <f t="shared" si="136"/>
        <v>46186</v>
      </c>
      <c r="AD436">
        <f>IF(VLOOKUP(AC436,'FOMC exp '!$C$6:$C$22,1)=AC436,MATCH(AC436,'FOMC exp '!$C$6:$C$22,1),AD435)</f>
        <v>10</v>
      </c>
      <c r="AE436" s="18" cm="1">
        <f t="array" ref="AE436">INDEX('FOMC exp '!$C$6:$D$23,AD436,2)</f>
        <v>4.4999999999999998E-2</v>
      </c>
    </row>
    <row r="437" spans="1:31">
      <c r="A437" t="str">
        <f t="shared" si="135"/>
        <v>Sunday</v>
      </c>
      <c r="B437" s="1">
        <f t="shared" si="137"/>
        <v>46187</v>
      </c>
      <c r="C437" s="45" t="str">
        <f>IF(LEFT(A437,1)="S","",VLOOKUP(B437,$AC$4:$AE$734,3)-'Quoting term rates'!$C$4)</f>
        <v/>
      </c>
      <c r="E437" s="45" t="str">
        <f t="shared" si="145"/>
        <v/>
      </c>
      <c r="AC437" s="1">
        <f t="shared" si="136"/>
        <v>46187</v>
      </c>
      <c r="AD437">
        <f>IF(VLOOKUP(AC437,'FOMC exp '!$C$6:$C$22,1)=AC437,MATCH(AC437,'FOMC exp '!$C$6:$C$22,1),AD436)</f>
        <v>10</v>
      </c>
      <c r="AE437" s="18" cm="1">
        <f t="array" ref="AE437">INDEX('FOMC exp '!$C$6:$D$23,AD437,2)</f>
        <v>4.4999999999999998E-2</v>
      </c>
    </row>
    <row r="438" spans="1:31">
      <c r="A438" t="str">
        <f t="shared" si="135"/>
        <v>Monday</v>
      </c>
      <c r="B438" s="1">
        <f t="shared" si="137"/>
        <v>46188</v>
      </c>
      <c r="C438" s="45">
        <f>IF(LEFT(A438,1)="S","",VLOOKUP(B438,$AC$4:$AE$734,3)-'Quoting term rates'!$C$4)</f>
        <v>4.3299999999999998E-2</v>
      </c>
      <c r="D438">
        <f t="shared" si="132"/>
        <v>1.0535808827335269</v>
      </c>
      <c r="E438" s="45">
        <f t="shared" si="145"/>
        <v>4.444497185269513E-2</v>
      </c>
      <c r="AC438" s="1">
        <f t="shared" si="136"/>
        <v>46188</v>
      </c>
      <c r="AD438">
        <f>IF(VLOOKUP(AC438,'FOMC exp '!$C$6:$C$22,1)=AC438,MATCH(AC438,'FOMC exp '!$C$6:$C$22,1),AD437)</f>
        <v>10</v>
      </c>
      <c r="AE438" s="18" cm="1">
        <f t="array" ref="AE438">INDEX('FOMC exp '!$C$6:$D$23,AD438,2)</f>
        <v>4.4999999999999998E-2</v>
      </c>
    </row>
    <row r="439" spans="1:31">
      <c r="A439" t="str">
        <f t="shared" si="135"/>
        <v>Tuesday</v>
      </c>
      <c r="B439" s="1">
        <f t="shared" si="137"/>
        <v>46189</v>
      </c>
      <c r="C439" s="45">
        <f>IF(LEFT(A439,1)="S","",VLOOKUP(B439,$AC$4:$AE$734,3)-'Quoting term rates'!$C$4)</f>
        <v>4.3299999999999998E-2</v>
      </c>
      <c r="D439">
        <f t="shared" ref="D439:D442" si="146">D438*(1+C438*1/360)</f>
        <v>1.0537076051008112</v>
      </c>
      <c r="E439" s="45">
        <f t="shared" si="145"/>
        <v>4.4447673186878228E-2</v>
      </c>
      <c r="AC439" s="1">
        <f t="shared" si="136"/>
        <v>46189</v>
      </c>
      <c r="AD439">
        <f>IF(VLOOKUP(AC439,'FOMC exp '!$C$6:$C$22,1)=AC439,MATCH(AC439,'FOMC exp '!$C$6:$C$22,1),AD438)</f>
        <v>10</v>
      </c>
      <c r="AE439" s="18" cm="1">
        <f t="array" ref="AE439">INDEX('FOMC exp '!$C$6:$D$23,AD439,2)</f>
        <v>4.4999999999999998E-2</v>
      </c>
    </row>
    <row r="440" spans="1:31">
      <c r="A440" t="str">
        <f t="shared" si="135"/>
        <v>Wednesday</v>
      </c>
      <c r="B440" s="1">
        <f t="shared" si="137"/>
        <v>46190</v>
      </c>
      <c r="C440" s="45">
        <f>IF(LEFT(A440,1)="S","",VLOOKUP(B440,$AC$4:$AE$734,3)-'Quoting term rates'!$C$4)</f>
        <v>4.3299999999999998E-2</v>
      </c>
      <c r="D440">
        <f t="shared" si="146"/>
        <v>1.0538343427099803</v>
      </c>
      <c r="E440" s="45">
        <f t="shared" si="145"/>
        <v>4.4450374714662663E-2</v>
      </c>
      <c r="AC440" s="1">
        <f t="shared" si="136"/>
        <v>46190</v>
      </c>
      <c r="AD440">
        <f>IF(VLOOKUP(AC440,'FOMC exp '!$C$6:$C$22,1)=AC440,MATCH(AC440,'FOMC exp '!$C$6:$C$22,1),AD439)</f>
        <v>11</v>
      </c>
      <c r="AE440" s="18" cm="1">
        <f t="array" ref="AE440">INDEX('FOMC exp '!$C$6:$D$23,AD440,2)</f>
        <v>4.4999999999999998E-2</v>
      </c>
    </row>
    <row r="441" spans="1:31">
      <c r="A441" t="str">
        <f t="shared" si="135"/>
        <v>Thursday</v>
      </c>
      <c r="B441" s="1">
        <f t="shared" si="137"/>
        <v>46191</v>
      </c>
      <c r="C441" s="45">
        <f>IF(LEFT(A441,1)="S","",VLOOKUP(B441,$AC$4:$AE$734,3)-'Quoting term rates'!$C$4)</f>
        <v>4.3299999999999998E-2</v>
      </c>
      <c r="D441">
        <f t="shared" si="146"/>
        <v>1.0539610955628673</v>
      </c>
      <c r="E441" s="45">
        <f t="shared" si="145"/>
        <v>4.4453076436229366E-2</v>
      </c>
      <c r="AC441" s="1">
        <f t="shared" si="136"/>
        <v>46191</v>
      </c>
      <c r="AD441">
        <f>IF(VLOOKUP(AC441,'FOMC exp '!$C$6:$C$22,1)=AC441,MATCH(AC441,'FOMC exp '!$C$6:$C$22,1),AD440)</f>
        <v>11</v>
      </c>
      <c r="AE441" s="18" cm="1">
        <f t="array" ref="AE441">INDEX('FOMC exp '!$C$6:$D$23,AD441,2)</f>
        <v>4.4999999999999998E-2</v>
      </c>
    </row>
    <row r="442" spans="1:31">
      <c r="A442" t="str">
        <f t="shared" si="135"/>
        <v>Friday</v>
      </c>
      <c r="B442" s="1">
        <f t="shared" si="137"/>
        <v>46192</v>
      </c>
      <c r="C442" s="45">
        <f>IF(LEFT(A442,1)="S","",VLOOKUP(B442,$AC$4:$AE$734,3)-'Quoting term rates'!$C$4)</f>
        <v>4.3299999999999998E-2</v>
      </c>
      <c r="D442">
        <f t="shared" si="146"/>
        <v>1.0540878636613058</v>
      </c>
      <c r="E442" s="45">
        <f t="shared" si="145"/>
        <v>4.44557783517582E-2</v>
      </c>
      <c r="AC442" s="1">
        <f t="shared" si="136"/>
        <v>46192</v>
      </c>
      <c r="AD442">
        <f>IF(VLOOKUP(AC442,'FOMC exp '!$C$6:$C$22,1)=AC442,MATCH(AC442,'FOMC exp '!$C$6:$C$22,1),AD441)</f>
        <v>11</v>
      </c>
      <c r="AE442" s="18" cm="1">
        <f t="array" ref="AE442">INDEX('FOMC exp '!$C$6:$D$23,AD442,2)</f>
        <v>4.4999999999999998E-2</v>
      </c>
    </row>
    <row r="443" spans="1:31">
      <c r="A443" t="str">
        <f t="shared" si="135"/>
        <v>Saturday</v>
      </c>
      <c r="B443" s="1">
        <f t="shared" si="137"/>
        <v>46193</v>
      </c>
      <c r="C443" s="45" t="str">
        <f>IF(LEFT(A443,1)="S","",VLOOKUP(B443,$AC$4:$AE$734,3)-'Quoting term rates'!$C$4)</f>
        <v/>
      </c>
      <c r="E443" s="45" t="str">
        <f t="shared" si="145"/>
        <v/>
      </c>
      <c r="AC443" s="1">
        <f t="shared" si="136"/>
        <v>46193</v>
      </c>
      <c r="AD443">
        <f>IF(VLOOKUP(AC443,'FOMC exp '!$C$6:$C$22,1)=AC443,MATCH(AC443,'FOMC exp '!$C$6:$C$22,1),AD442)</f>
        <v>11</v>
      </c>
      <c r="AE443" s="18" cm="1">
        <f t="array" ref="AE443">INDEX('FOMC exp '!$C$6:$D$23,AD443,2)</f>
        <v>4.4999999999999998E-2</v>
      </c>
    </row>
    <row r="444" spans="1:31">
      <c r="A444" t="str">
        <f t="shared" si="135"/>
        <v>Sunday</v>
      </c>
      <c r="B444" s="1">
        <f t="shared" si="137"/>
        <v>46194</v>
      </c>
      <c r="C444" s="45" t="str">
        <f>IF(LEFT(A444,1)="S","",VLOOKUP(B444,$AC$4:$AE$734,3)-'Quoting term rates'!$C$4)</f>
        <v/>
      </c>
      <c r="E444" s="45" t="str">
        <f t="shared" si="145"/>
        <v/>
      </c>
      <c r="AC444" s="1">
        <f t="shared" si="136"/>
        <v>46194</v>
      </c>
      <c r="AD444">
        <f>IF(VLOOKUP(AC444,'FOMC exp '!$C$6:$C$22,1)=AC444,MATCH(AC444,'FOMC exp '!$C$6:$C$22,1),AD443)</f>
        <v>11</v>
      </c>
      <c r="AE444" s="18" cm="1">
        <f t="array" ref="AE444">INDEX('FOMC exp '!$C$6:$D$23,AD444,2)</f>
        <v>4.4999999999999998E-2</v>
      </c>
    </row>
    <row r="445" spans="1:31">
      <c r="A445" t="str">
        <f t="shared" si="135"/>
        <v>Monday</v>
      </c>
      <c r="B445" s="1">
        <f t="shared" si="137"/>
        <v>46195</v>
      </c>
      <c r="C445" s="45">
        <f>IF(LEFT(A445,1)="S","",VLOOKUP(B445,$AC$4:$AE$734,3)-'Quoting term rates'!$C$4)</f>
        <v>4.3299999999999998E-2</v>
      </c>
      <c r="D445">
        <f t="shared" ref="D445:D508" si="147">D442*(1+C442*3/360)</f>
        <v>1.0544682136987769</v>
      </c>
      <c r="E445" s="45">
        <f t="shared" si="145"/>
        <v>4.4463847917368862E-2</v>
      </c>
      <c r="AC445" s="1">
        <f t="shared" si="136"/>
        <v>46195</v>
      </c>
      <c r="AD445">
        <f>IF(VLOOKUP(AC445,'FOMC exp '!$C$6:$C$22,1)=AC445,MATCH(AC445,'FOMC exp '!$C$6:$C$22,1),AD444)</f>
        <v>11</v>
      </c>
      <c r="AE445" s="18" cm="1">
        <f t="array" ref="AE445">INDEX('FOMC exp '!$C$6:$D$23,AD445,2)</f>
        <v>4.4999999999999998E-2</v>
      </c>
    </row>
    <row r="446" spans="1:31">
      <c r="A446" t="str">
        <f t="shared" si="135"/>
        <v>Tuesday</v>
      </c>
      <c r="B446" s="1">
        <f t="shared" si="137"/>
        <v>46196</v>
      </c>
      <c r="C446" s="45">
        <f>IF(LEFT(A446,1)="S","",VLOOKUP(B446,$AC$4:$AE$734,3)-'Quoting term rates'!$C$4)</f>
        <v>4.3299999999999998E-2</v>
      </c>
      <c r="D446">
        <f t="shared" ref="D446:D449" si="148">D445*(1+C445*1/360)</f>
        <v>1.0545950427922579</v>
      </c>
      <c r="E446" s="45">
        <f t="shared" si="145"/>
        <v>4.4466550690526796E-2</v>
      </c>
      <c r="AC446" s="1">
        <f t="shared" si="136"/>
        <v>46196</v>
      </c>
      <c r="AD446">
        <f>IF(VLOOKUP(AC446,'FOMC exp '!$C$6:$C$22,1)=AC446,MATCH(AC446,'FOMC exp '!$C$6:$C$22,1),AD445)</f>
        <v>11</v>
      </c>
      <c r="AE446" s="18" cm="1">
        <f t="array" ref="AE446">INDEX('FOMC exp '!$C$6:$D$23,AD446,2)</f>
        <v>4.4999999999999998E-2</v>
      </c>
    </row>
    <row r="447" spans="1:31">
      <c r="A447" t="str">
        <f t="shared" si="135"/>
        <v>Wednesday</v>
      </c>
      <c r="B447" s="1">
        <f t="shared" si="137"/>
        <v>46197</v>
      </c>
      <c r="C447" s="45">
        <f>IF(LEFT(A447,1)="S","",VLOOKUP(B447,$AC$4:$AE$734,3)-'Quoting term rates'!$C$4)</f>
        <v>4.3299999999999998E-2</v>
      </c>
      <c r="D447">
        <f t="shared" si="148"/>
        <v>1.0547218871404604</v>
      </c>
      <c r="E447" s="45">
        <f t="shared" si="145"/>
        <v>4.446925365816199E-2</v>
      </c>
      <c r="AC447" s="1">
        <f t="shared" si="136"/>
        <v>46197</v>
      </c>
      <c r="AD447">
        <f>IF(VLOOKUP(AC447,'FOMC exp '!$C$6:$C$22,1)=AC447,MATCH(AC447,'FOMC exp '!$C$6:$C$22,1),AD446)</f>
        <v>11</v>
      </c>
      <c r="AE447" s="18" cm="1">
        <f t="array" ref="AE447">INDEX('FOMC exp '!$C$6:$D$23,AD447,2)</f>
        <v>4.4999999999999998E-2</v>
      </c>
    </row>
    <row r="448" spans="1:31">
      <c r="A448" t="str">
        <f t="shared" si="135"/>
        <v>Thursday</v>
      </c>
      <c r="B448" s="1">
        <f t="shared" si="137"/>
        <v>46198</v>
      </c>
      <c r="C448" s="45">
        <f>IF(LEFT(A448,1)="S","",VLOOKUP(B448,$AC$4:$AE$734,3)-'Quoting term rates'!$C$4)</f>
        <v>4.3299999999999998E-2</v>
      </c>
      <c r="D448">
        <f t="shared" si="148"/>
        <v>1.0548487467452192</v>
      </c>
      <c r="E448" s="45">
        <f t="shared" si="145"/>
        <v>4.4471956820448022E-2</v>
      </c>
      <c r="AC448" s="1">
        <f t="shared" si="136"/>
        <v>46198</v>
      </c>
      <c r="AD448">
        <f>IF(VLOOKUP(AC448,'FOMC exp '!$C$6:$C$22,1)=AC448,MATCH(AC448,'FOMC exp '!$C$6:$C$22,1),AD447)</f>
        <v>11</v>
      </c>
      <c r="AE448" s="18" cm="1">
        <f t="array" ref="AE448">INDEX('FOMC exp '!$C$6:$D$23,AD448,2)</f>
        <v>4.4999999999999998E-2</v>
      </c>
    </row>
    <row r="449" spans="1:31">
      <c r="A449" t="str">
        <f t="shared" si="135"/>
        <v>Friday</v>
      </c>
      <c r="B449" s="1">
        <f t="shared" si="137"/>
        <v>46199</v>
      </c>
      <c r="C449" s="45">
        <f>IF(LEFT(A449,1)="S","",VLOOKUP(B449,$AC$4:$AE$734,3)-'Quoting term rates'!$C$4)</f>
        <v>4.3299999999999998E-2</v>
      </c>
      <c r="D449">
        <f t="shared" si="148"/>
        <v>1.0549756216083694</v>
      </c>
      <c r="E449" s="45">
        <f t="shared" si="145"/>
        <v>4.4474660177557301E-2</v>
      </c>
      <c r="AC449" s="1">
        <f t="shared" si="136"/>
        <v>46199</v>
      </c>
      <c r="AD449">
        <f>IF(VLOOKUP(AC449,'FOMC exp '!$C$6:$C$22,1)=AC449,MATCH(AC449,'FOMC exp '!$C$6:$C$22,1),AD448)</f>
        <v>11</v>
      </c>
      <c r="AE449" s="18" cm="1">
        <f t="array" ref="AE449">INDEX('FOMC exp '!$C$6:$D$23,AD449,2)</f>
        <v>4.4999999999999998E-2</v>
      </c>
    </row>
    <row r="450" spans="1:31">
      <c r="A450" t="str">
        <f t="shared" si="135"/>
        <v>Saturday</v>
      </c>
      <c r="B450" s="1">
        <f t="shared" si="137"/>
        <v>46200</v>
      </c>
      <c r="C450" s="45" t="str">
        <f>IF(LEFT(A450,1)="S","",VLOOKUP(B450,$AC$4:$AE$734,3)-'Quoting term rates'!$C$4)</f>
        <v/>
      </c>
      <c r="E450" s="45" t="str">
        <f t="shared" si="145"/>
        <v/>
      </c>
      <c r="AC450" s="1">
        <f t="shared" si="136"/>
        <v>46200</v>
      </c>
      <c r="AD450">
        <f>IF(VLOOKUP(AC450,'FOMC exp '!$C$6:$C$22,1)=AC450,MATCH(AC450,'FOMC exp '!$C$6:$C$22,1),AD449)</f>
        <v>11</v>
      </c>
      <c r="AE450" s="18" cm="1">
        <f t="array" ref="AE450">INDEX('FOMC exp '!$C$6:$D$23,AD450,2)</f>
        <v>4.4999999999999998E-2</v>
      </c>
    </row>
    <row r="451" spans="1:31">
      <c r="A451" t="str">
        <f t="shared" si="135"/>
        <v>Sunday</v>
      </c>
      <c r="B451" s="1">
        <f t="shared" si="137"/>
        <v>46201</v>
      </c>
      <c r="C451" s="45" t="str">
        <f>IF(LEFT(A451,1)="S","",VLOOKUP(B451,$AC$4:$AE$734,3)-'Quoting term rates'!$C$4)</f>
        <v/>
      </c>
      <c r="E451" s="45" t="str">
        <f t="shared" si="145"/>
        <v/>
      </c>
      <c r="AC451" s="1">
        <f t="shared" si="136"/>
        <v>46201</v>
      </c>
      <c r="AD451">
        <f>IF(VLOOKUP(AC451,'FOMC exp '!$C$6:$C$22,1)=AC451,MATCH(AC451,'FOMC exp '!$C$6:$C$22,1),AD450)</f>
        <v>11</v>
      </c>
      <c r="AE451" s="18" cm="1">
        <f t="array" ref="AE451">INDEX('FOMC exp '!$C$6:$D$23,AD451,2)</f>
        <v>4.4999999999999998E-2</v>
      </c>
    </row>
    <row r="452" spans="1:31">
      <c r="A452" t="str">
        <f t="shared" si="135"/>
        <v>Monday</v>
      </c>
      <c r="B452" s="1">
        <f t="shared" si="137"/>
        <v>46202</v>
      </c>
      <c r="C452" s="45">
        <f>IF(LEFT(A452,1)="S","",VLOOKUP(B452,$AC$4:$AE$734,3)-'Quoting term rates'!$C$4)</f>
        <v>4.3299999999999998E-2</v>
      </c>
      <c r="D452">
        <f t="shared" si="147"/>
        <v>1.0553562919784998</v>
      </c>
      <c r="E452" s="45">
        <f t="shared" si="145"/>
        <v>4.4482734625580181E-2</v>
      </c>
      <c r="AC452" s="1">
        <f t="shared" si="136"/>
        <v>46202</v>
      </c>
      <c r="AD452">
        <f>IF(VLOOKUP(AC452,'FOMC exp '!$C$6:$C$22,1)=AC452,MATCH(AC452,'FOMC exp '!$C$6:$C$22,1),AD451)</f>
        <v>11</v>
      </c>
      <c r="AE452" s="18" cm="1">
        <f t="array" ref="AE452">INDEX('FOMC exp '!$C$6:$D$23,AD452,2)</f>
        <v>4.4999999999999998E-2</v>
      </c>
    </row>
    <row r="453" spans="1:31">
      <c r="A453" t="str">
        <f t="shared" ref="A453:A516" si="149">VLOOKUP(WEEKDAY(B453,2),$Z$2:$AA$8,2)</f>
        <v>Tuesday</v>
      </c>
      <c r="B453" s="1">
        <f t="shared" si="137"/>
        <v>46203</v>
      </c>
      <c r="C453" s="45">
        <f>IF(LEFT(A453,1)="S","",VLOOKUP(B453,$AC$4:$AE$734,3)-'Quoting term rates'!$C$4)</f>
        <v>4.3299999999999998E-2</v>
      </c>
      <c r="D453">
        <f t="shared" ref="D453:D456" si="150">D452*(1+C452*1/360)</f>
        <v>1.0554832278880628</v>
      </c>
      <c r="E453" s="45">
        <f t="shared" si="145"/>
        <v>4.4485438841208494E-2</v>
      </c>
      <c r="AC453" s="1">
        <f t="shared" ref="AC453:AC470" si="151">B453</f>
        <v>46203</v>
      </c>
      <c r="AD453">
        <f>IF(VLOOKUP(AC453,'FOMC exp '!$C$6:$C$22,1)=AC453,MATCH(AC453,'FOMC exp '!$C$6:$C$22,1),AD452)</f>
        <v>11</v>
      </c>
      <c r="AE453" s="18" cm="1">
        <f t="array" ref="AE453">INDEX('FOMC exp '!$C$6:$D$23,AD453,2)</f>
        <v>4.4999999999999998E-2</v>
      </c>
    </row>
    <row r="454" spans="1:31">
      <c r="A454" t="str">
        <f t="shared" si="149"/>
        <v>Wednesday</v>
      </c>
      <c r="B454" s="1">
        <f t="shared" ref="B454:B517" si="152">B453+1</f>
        <v>46204</v>
      </c>
      <c r="C454" s="45">
        <f>IF(LEFT(A454,1)="S","",VLOOKUP(B454,$AC$4:$AE$734,3)-'Quoting term rates'!$C$4)</f>
        <v>4.3299999999999998E-2</v>
      </c>
      <c r="D454">
        <f t="shared" si="150"/>
        <v>1.0556101790651948</v>
      </c>
      <c r="E454" s="45">
        <f t="shared" si="145"/>
        <v>4.4488143252155866E-2</v>
      </c>
      <c r="AC454" s="1">
        <f t="shared" si="151"/>
        <v>46204</v>
      </c>
      <c r="AD454">
        <f>IF(VLOOKUP(AC454,'FOMC exp '!$C$6:$C$22,1)=AC454,MATCH(AC454,'FOMC exp '!$C$6:$C$22,1),AD453)</f>
        <v>11</v>
      </c>
      <c r="AE454" s="18" cm="1">
        <f t="array" ref="AE454">INDEX('FOMC exp '!$C$6:$D$23,AD454,2)</f>
        <v>4.4999999999999998E-2</v>
      </c>
    </row>
    <row r="455" spans="1:31">
      <c r="A455" t="str">
        <f t="shared" si="149"/>
        <v>Thursday</v>
      </c>
      <c r="B455" s="1">
        <f t="shared" si="152"/>
        <v>46205</v>
      </c>
      <c r="C455" s="45">
        <f>IF(LEFT(A455,1)="S","",VLOOKUP(B455,$AC$4:$AE$734,3)-'Quoting term rates'!$C$4)</f>
        <v>4.3299999999999998E-2</v>
      </c>
      <c r="D455">
        <f t="shared" si="150"/>
        <v>1.0557371455117324</v>
      </c>
      <c r="E455" s="45">
        <f t="shared" si="145"/>
        <v>4.4490847858589026E-2</v>
      </c>
      <c r="AC455" s="1">
        <f t="shared" si="151"/>
        <v>46205</v>
      </c>
      <c r="AD455">
        <f>IF(VLOOKUP(AC455,'FOMC exp '!$C$6:$C$22,1)=AC455,MATCH(AC455,'FOMC exp '!$C$6:$C$22,1),AD454)</f>
        <v>11</v>
      </c>
      <c r="AE455" s="18" cm="1">
        <f t="array" ref="AE455">INDEX('FOMC exp '!$C$6:$D$23,AD455,2)</f>
        <v>4.4999999999999998E-2</v>
      </c>
    </row>
    <row r="456" spans="1:31">
      <c r="A456" t="str">
        <f t="shared" si="149"/>
        <v>Friday</v>
      </c>
      <c r="B456" s="1">
        <f t="shared" si="152"/>
        <v>46206</v>
      </c>
      <c r="C456" s="45">
        <f>IF(LEFT(A456,1)="S","",VLOOKUP(B456,$AC$4:$AE$734,3)-'Quoting term rates'!$C$4)</f>
        <v>4.3299999999999998E-2</v>
      </c>
      <c r="D456">
        <f t="shared" si="150"/>
        <v>1.055864127229512</v>
      </c>
      <c r="E456" s="45">
        <f t="shared" si="145"/>
        <v>4.4493552660673237E-2</v>
      </c>
      <c r="AC456" s="1">
        <f t="shared" si="151"/>
        <v>46206</v>
      </c>
      <c r="AD456">
        <f>IF(VLOOKUP(AC456,'FOMC exp '!$C$6:$C$22,1)=AC456,MATCH(AC456,'FOMC exp '!$C$6:$C$22,1),AD455)</f>
        <v>11</v>
      </c>
      <c r="AE456" s="18" cm="1">
        <f t="array" ref="AE456">INDEX('FOMC exp '!$C$6:$D$23,AD456,2)</f>
        <v>4.4999999999999998E-2</v>
      </c>
    </row>
    <row r="457" spans="1:31">
      <c r="A457" t="str">
        <f t="shared" si="149"/>
        <v>Saturday</v>
      </c>
      <c r="B457" s="1">
        <f t="shared" si="152"/>
        <v>46207</v>
      </c>
      <c r="C457" s="45" t="str">
        <f>IF(LEFT(A457,1)="S","",VLOOKUP(B457,$AC$4:$AE$734,3)-'Quoting term rates'!$C$4)</f>
        <v/>
      </c>
      <c r="E457" s="45" t="str">
        <f t="shared" si="145"/>
        <v/>
      </c>
      <c r="AC457" s="1">
        <f t="shared" si="151"/>
        <v>46207</v>
      </c>
      <c r="AD457">
        <f>IF(VLOOKUP(AC457,'FOMC exp '!$C$6:$C$22,1)=AC457,MATCH(AC457,'FOMC exp '!$C$6:$C$22,1),AD456)</f>
        <v>11</v>
      </c>
      <c r="AE457" s="18" cm="1">
        <f t="array" ref="AE457">INDEX('FOMC exp '!$C$6:$D$23,AD457,2)</f>
        <v>4.4999999999999998E-2</v>
      </c>
    </row>
    <row r="458" spans="1:31">
      <c r="A458" t="str">
        <f t="shared" si="149"/>
        <v>Sunday</v>
      </c>
      <c r="B458" s="1">
        <f t="shared" si="152"/>
        <v>46208</v>
      </c>
      <c r="C458" s="45" t="str">
        <f>IF(LEFT(A458,1)="S","",VLOOKUP(B458,$AC$4:$AE$734,3)-'Quoting term rates'!$C$4)</f>
        <v/>
      </c>
      <c r="E458" s="45" t="str">
        <f t="shared" si="145"/>
        <v/>
      </c>
      <c r="AC458" s="1">
        <f t="shared" si="151"/>
        <v>46208</v>
      </c>
      <c r="AD458">
        <f>IF(VLOOKUP(AC458,'FOMC exp '!$C$6:$C$22,1)=AC458,MATCH(AC458,'FOMC exp '!$C$6:$C$22,1),AD457)</f>
        <v>11</v>
      </c>
      <c r="AE458" s="18" cm="1">
        <f t="array" ref="AE458">INDEX('FOMC exp '!$C$6:$D$23,AD458,2)</f>
        <v>4.4999999999999998E-2</v>
      </c>
    </row>
    <row r="459" spans="1:31">
      <c r="A459" t="str">
        <f t="shared" si="149"/>
        <v>Monday</v>
      </c>
      <c r="B459" s="1">
        <f t="shared" si="152"/>
        <v>46209</v>
      </c>
      <c r="C459" s="45">
        <f>IF(LEFT(A459,1)="S","",VLOOKUP(B459,$AC$4:$AE$734,3)-'Quoting term rates'!$C$4)</f>
        <v>4.3299999999999998E-2</v>
      </c>
      <c r="D459">
        <f t="shared" si="147"/>
        <v>1.0562451182020873</v>
      </c>
      <c r="E459" s="45">
        <f t="shared" si="145"/>
        <v>4.4501631984069097E-2</v>
      </c>
      <c r="AC459" s="1">
        <f t="shared" si="151"/>
        <v>46209</v>
      </c>
      <c r="AD459">
        <f>IF(VLOOKUP(AC459,'FOMC exp '!$C$6:$C$22,1)=AC459,MATCH(AC459,'FOMC exp '!$C$6:$C$22,1),AD458)</f>
        <v>11</v>
      </c>
      <c r="AE459" s="18" cm="1">
        <f t="array" ref="AE459">INDEX('FOMC exp '!$C$6:$D$23,AD459,2)</f>
        <v>4.4999999999999998E-2</v>
      </c>
    </row>
    <row r="460" spans="1:31">
      <c r="A460" t="str">
        <f t="shared" si="149"/>
        <v>Tuesday</v>
      </c>
      <c r="B460" s="1">
        <f t="shared" si="152"/>
        <v>46210</v>
      </c>
      <c r="C460" s="45">
        <f>IF(LEFT(A460,1)="S","",VLOOKUP(B460,$AC$4:$AE$734,3)-'Quoting term rates'!$C$4)</f>
        <v>4.3299999999999998E-2</v>
      </c>
      <c r="D460">
        <f t="shared" ref="D460:D463" si="153">D459*(1+C459*1/360)</f>
        <v>1.0563721610176933</v>
      </c>
      <c r="E460" s="45">
        <f t="shared" si="145"/>
        <v>4.4504337645547315E-2</v>
      </c>
      <c r="AC460" s="1">
        <f t="shared" si="151"/>
        <v>46210</v>
      </c>
      <c r="AD460">
        <f>IF(VLOOKUP(AC460,'FOMC exp '!$C$6:$C$22,1)=AC460,MATCH(AC460,'FOMC exp '!$C$6:$C$22,1),AD459)</f>
        <v>11</v>
      </c>
      <c r="AE460" s="18" cm="1">
        <f t="array" ref="AE460">INDEX('FOMC exp '!$C$6:$D$23,AD460,2)</f>
        <v>4.4999999999999998E-2</v>
      </c>
    </row>
    <row r="461" spans="1:31">
      <c r="A461" t="str">
        <f t="shared" si="149"/>
        <v>Wednesday</v>
      </c>
      <c r="B461" s="1">
        <f t="shared" si="152"/>
        <v>46211</v>
      </c>
      <c r="C461" s="45">
        <f>IF(LEFT(A461,1)="S","",VLOOKUP(B461,$AC$4:$AE$734,3)-'Quoting term rates'!$C$4)</f>
        <v>4.3299999999999998E-2</v>
      </c>
      <c r="D461">
        <f t="shared" si="153"/>
        <v>1.0564992191137268</v>
      </c>
      <c r="E461" s="45">
        <f t="shared" si="145"/>
        <v>4.4507043503154584E-2</v>
      </c>
      <c r="AC461" s="1">
        <f t="shared" si="151"/>
        <v>46211</v>
      </c>
      <c r="AD461">
        <f>IF(VLOOKUP(AC461,'FOMC exp '!$C$6:$C$22,1)=AC461,MATCH(AC461,'FOMC exp '!$C$6:$C$22,1),AD460)</f>
        <v>11</v>
      </c>
      <c r="AE461" s="18" cm="1">
        <f t="array" ref="AE461">INDEX('FOMC exp '!$C$6:$D$23,AD461,2)</f>
        <v>4.4999999999999998E-2</v>
      </c>
    </row>
    <row r="462" spans="1:31">
      <c r="A462" t="str">
        <f t="shared" si="149"/>
        <v>Thursday</v>
      </c>
      <c r="B462" s="1">
        <f t="shared" si="152"/>
        <v>46212</v>
      </c>
      <c r="C462" s="45">
        <f>IF(LEFT(A462,1)="S","",VLOOKUP(B462,$AC$4:$AE$734,3)-'Quoting term rates'!$C$4)</f>
        <v>4.3299999999999998E-2</v>
      </c>
      <c r="D462">
        <f t="shared" si="153"/>
        <v>1.0566262924920258</v>
      </c>
      <c r="E462" s="45">
        <f t="shared" si="145"/>
        <v>4.450974955705083E-2</v>
      </c>
      <c r="AC462" s="1">
        <f t="shared" si="151"/>
        <v>46212</v>
      </c>
      <c r="AD462">
        <f>IF(VLOOKUP(AC462,'FOMC exp '!$C$6:$C$22,1)=AC462,MATCH(AC462,'FOMC exp '!$C$6:$C$22,1),AD461)</f>
        <v>11</v>
      </c>
      <c r="AE462" s="18" cm="1">
        <f t="array" ref="AE462">INDEX('FOMC exp '!$C$6:$D$23,AD462,2)</f>
        <v>4.4999999999999998E-2</v>
      </c>
    </row>
    <row r="463" spans="1:31">
      <c r="A463" t="str">
        <f t="shared" si="149"/>
        <v>Friday</v>
      </c>
      <c r="B463" s="1">
        <f t="shared" si="152"/>
        <v>46213</v>
      </c>
      <c r="C463" s="45">
        <f>IF(LEFT(A463,1)="S","",VLOOKUP(B463,$AC$4:$AE$734,3)-'Quoting term rates'!$C$4)</f>
        <v>4.3299999999999998E-2</v>
      </c>
      <c r="D463">
        <f t="shared" si="153"/>
        <v>1.0567533811544283</v>
      </c>
      <c r="E463" s="45">
        <f t="shared" si="145"/>
        <v>4.4512455807394748E-2</v>
      </c>
      <c r="AC463" s="1">
        <f t="shared" si="151"/>
        <v>46213</v>
      </c>
      <c r="AD463">
        <f>IF(VLOOKUP(AC463,'FOMC exp '!$C$6:$C$22,1)=AC463,MATCH(AC463,'FOMC exp '!$C$6:$C$22,1),AD462)</f>
        <v>11</v>
      </c>
      <c r="AE463" s="18" cm="1">
        <f t="array" ref="AE463">INDEX('FOMC exp '!$C$6:$D$23,AD463,2)</f>
        <v>4.4999999999999998E-2</v>
      </c>
    </row>
    <row r="464" spans="1:31">
      <c r="A464" t="str">
        <f t="shared" si="149"/>
        <v>Saturday</v>
      </c>
      <c r="B464" s="1">
        <f t="shared" si="152"/>
        <v>46214</v>
      </c>
      <c r="C464" s="45" t="str">
        <f>IF(LEFT(A464,1)="S","",VLOOKUP(B464,$AC$4:$AE$734,3)-'Quoting term rates'!$C$4)</f>
        <v/>
      </c>
      <c r="E464" s="45" t="str">
        <f t="shared" si="145"/>
        <v/>
      </c>
      <c r="AC464" s="1">
        <f t="shared" si="151"/>
        <v>46214</v>
      </c>
      <c r="AD464">
        <f>IF(VLOOKUP(AC464,'FOMC exp '!$C$6:$C$22,1)=AC464,MATCH(AC464,'FOMC exp '!$C$6:$C$22,1),AD463)</f>
        <v>11</v>
      </c>
      <c r="AE464" s="18" cm="1">
        <f t="array" ref="AE464">INDEX('FOMC exp '!$C$6:$D$23,AD464,2)</f>
        <v>4.4999999999999998E-2</v>
      </c>
    </row>
    <row r="465" spans="1:31">
      <c r="A465" t="str">
        <f t="shared" si="149"/>
        <v>Sunday</v>
      </c>
      <c r="B465" s="1">
        <f t="shared" si="152"/>
        <v>46215</v>
      </c>
      <c r="C465" s="45" t="str">
        <f>IF(LEFT(A465,1)="S","",VLOOKUP(B465,$AC$4:$AE$734,3)-'Quoting term rates'!$C$4)</f>
        <v/>
      </c>
      <c r="E465" s="45" t="str">
        <f t="shared" si="145"/>
        <v/>
      </c>
      <c r="AC465" s="1">
        <f t="shared" si="151"/>
        <v>46215</v>
      </c>
      <c r="AD465">
        <f>IF(VLOOKUP(AC465,'FOMC exp '!$C$6:$C$22,1)=AC465,MATCH(AC465,'FOMC exp '!$C$6:$C$22,1),AD464)</f>
        <v>11</v>
      </c>
      <c r="AE465" s="18" cm="1">
        <f t="array" ref="AE465">INDEX('FOMC exp '!$C$6:$D$23,AD465,2)</f>
        <v>4.4999999999999998E-2</v>
      </c>
    </row>
    <row r="466" spans="1:31">
      <c r="A466" t="str">
        <f t="shared" si="149"/>
        <v>Monday</v>
      </c>
      <c r="B466" s="1">
        <f t="shared" si="152"/>
        <v>46216</v>
      </c>
      <c r="C466" s="45">
        <f>IF(LEFT(A466,1)="S","",VLOOKUP(B466,$AC$4:$AE$734,3)-'Quoting term rates'!$C$4)</f>
        <v>4.3299999999999998E-2</v>
      </c>
      <c r="D466">
        <f t="shared" si="147"/>
        <v>1.0571346929994616</v>
      </c>
      <c r="E466" s="45">
        <f t="shared" si="145"/>
        <v>4.4520539999580479E-2</v>
      </c>
      <c r="AC466" s="1">
        <f t="shared" si="151"/>
        <v>46216</v>
      </c>
      <c r="AD466">
        <f>IF(VLOOKUP(AC466,'FOMC exp '!$C$6:$C$22,1)=AC466,MATCH(AC466,'FOMC exp '!$C$6:$C$22,1),AD465)</f>
        <v>11</v>
      </c>
      <c r="AE466" s="18" cm="1">
        <f t="array" ref="AE466">INDEX('FOMC exp '!$C$6:$D$23,AD466,2)</f>
        <v>4.4999999999999998E-2</v>
      </c>
    </row>
    <row r="467" spans="1:31">
      <c r="A467" t="str">
        <f t="shared" si="149"/>
        <v>Tuesday</v>
      </c>
      <c r="B467" s="1">
        <f t="shared" si="152"/>
        <v>46217</v>
      </c>
      <c r="C467" s="45">
        <f>IF(LEFT(A467,1)="S","",VLOOKUP(B467,$AC$4:$AE$734,3)-'Quoting term rates'!$C$4)</f>
        <v>4.3299999999999998E-2</v>
      </c>
      <c r="D467">
        <f t="shared" ref="D467:D470" si="154">D466*(1+C466*1/360)</f>
        <v>1.0572618428111473</v>
      </c>
      <c r="E467" s="45">
        <f t="shared" si="145"/>
        <v>4.4523247110179347E-2</v>
      </c>
      <c r="AC467" s="1">
        <f t="shared" si="151"/>
        <v>46217</v>
      </c>
      <c r="AD467">
        <f>IF(VLOOKUP(AC467,'FOMC exp '!$C$6:$C$22,1)=AC467,MATCH(AC467,'FOMC exp '!$C$6:$C$22,1),AD466)</f>
        <v>11</v>
      </c>
      <c r="AE467" s="18" cm="1">
        <f t="array" ref="AE467">INDEX('FOMC exp '!$C$6:$D$23,AD467,2)</f>
        <v>4.4999999999999998E-2</v>
      </c>
    </row>
    <row r="468" spans="1:31">
      <c r="A468" t="str">
        <f t="shared" si="149"/>
        <v>Wednesday</v>
      </c>
      <c r="B468" s="1">
        <f t="shared" si="152"/>
        <v>46218</v>
      </c>
      <c r="C468" s="45">
        <f>IF(LEFT(A468,1)="S","",VLOOKUP(B468,$AC$4:$AE$734,3)-'Quoting term rates'!$C$4)</f>
        <v>4.3299999999999998E-2</v>
      </c>
      <c r="D468">
        <f t="shared" si="154"/>
        <v>1.0573890079161299</v>
      </c>
      <c r="E468" s="45">
        <f t="shared" si="145"/>
        <v>4.4525954417686975E-2</v>
      </c>
      <c r="AC468" s="1">
        <f t="shared" si="151"/>
        <v>46218</v>
      </c>
      <c r="AD468">
        <f>IF(VLOOKUP(AC468,'FOMC exp '!$C$6:$C$22,1)=AC468,MATCH(AC468,'FOMC exp '!$C$6:$C$22,1),AD467)</f>
        <v>11</v>
      </c>
      <c r="AE468" s="18" cm="1">
        <f t="array" ref="AE468">INDEX('FOMC exp '!$C$6:$D$23,AD468,2)</f>
        <v>4.4999999999999998E-2</v>
      </c>
    </row>
    <row r="469" spans="1:31">
      <c r="A469" t="str">
        <f t="shared" si="149"/>
        <v>Thursday</v>
      </c>
      <c r="B469" s="1">
        <f t="shared" si="152"/>
        <v>46219</v>
      </c>
      <c r="C469" s="45">
        <f>IF(LEFT(A469,1)="S","",VLOOKUP(B469,$AC$4:$AE$734,3)-'Quoting term rates'!$C$4)</f>
        <v>4.3299999999999998E-2</v>
      </c>
      <c r="D469">
        <f t="shared" si="154"/>
        <v>1.0575161883162487</v>
      </c>
      <c r="E469" s="45">
        <f t="shared" si="145"/>
        <v>4.4528661922257066E-2</v>
      </c>
      <c r="AC469" s="1">
        <f t="shared" si="151"/>
        <v>46219</v>
      </c>
      <c r="AD469">
        <f>IF(VLOOKUP(AC469,'FOMC exp '!$C$6:$C$22,1)=AC469,MATCH(AC469,'FOMC exp '!$C$6:$C$22,1),AD468)</f>
        <v>11</v>
      </c>
      <c r="AE469" s="18" cm="1">
        <f t="array" ref="AE469">INDEX('FOMC exp '!$C$6:$D$23,AD469,2)</f>
        <v>4.4999999999999998E-2</v>
      </c>
    </row>
    <row r="470" spans="1:31">
      <c r="A470" t="str">
        <f t="shared" si="149"/>
        <v>Friday</v>
      </c>
      <c r="B470" s="1">
        <f t="shared" si="152"/>
        <v>46220</v>
      </c>
      <c r="C470" s="45">
        <f>IF(LEFT(A470,1)="S","",VLOOKUP(B470,$AC$4:$AE$734,3)-'Quoting term rates'!$C$4)</f>
        <v>4.3299999999999998E-2</v>
      </c>
      <c r="D470">
        <f t="shared" si="154"/>
        <v>1.0576433840133435</v>
      </c>
      <c r="E470" s="45">
        <f t="shared" si="145"/>
        <v>4.4531369624042152E-2</v>
      </c>
      <c r="AC470" s="1">
        <f t="shared" si="151"/>
        <v>46220</v>
      </c>
      <c r="AD470">
        <f>IF(VLOOKUP(AC470,'FOMC exp '!$C$6:$C$22,1)=AC470,MATCH(AC470,'FOMC exp '!$C$6:$C$22,1),AD469)</f>
        <v>11</v>
      </c>
      <c r="AE470" s="18" cm="1">
        <f t="array" ref="AE470">INDEX('FOMC exp '!$C$6:$D$23,AD470,2)</f>
        <v>4.4999999999999998E-2</v>
      </c>
    </row>
    <row r="471" spans="1:31">
      <c r="A471" t="str">
        <f t="shared" si="149"/>
        <v>Saturday</v>
      </c>
      <c r="B471" s="1">
        <f t="shared" si="152"/>
        <v>46221</v>
      </c>
      <c r="C471" s="45" t="str">
        <f>IF(LEFT(A471,1)="S","",VLOOKUP(B471,$AC$4:$AE$734,3)-'Quoting term rates'!$C$4)</f>
        <v/>
      </c>
      <c r="E471" s="45" t="str">
        <f t="shared" si="145"/>
        <v/>
      </c>
      <c r="AC471" s="1">
        <f>B471</f>
        <v>46221</v>
      </c>
      <c r="AD471">
        <f>IF(VLOOKUP(AC471,'FOMC exp '!$C$6:$C$22,1)=AC471,MATCH(AC471,'FOMC exp '!$C$6:$C$22,1),AD470)</f>
        <v>11</v>
      </c>
      <c r="AE471" s="18" cm="1">
        <f t="array" ref="AE471">INDEX('FOMC exp '!$C$6:$D$23,AD471,2)</f>
        <v>4.4999999999999998E-2</v>
      </c>
    </row>
    <row r="472" spans="1:31">
      <c r="A472" t="str">
        <f t="shared" si="149"/>
        <v>Sunday</v>
      </c>
      <c r="B472" s="1">
        <f t="shared" si="152"/>
        <v>46222</v>
      </c>
      <c r="C472" s="45" t="str">
        <f>IF(LEFT(A472,1)="S","",VLOOKUP(B472,$AC$4:$AE$734,3)-'Quoting term rates'!$C$4)</f>
        <v/>
      </c>
      <c r="E472" s="45" t="str">
        <f t="shared" si="145"/>
        <v/>
      </c>
      <c r="AC472" s="1">
        <f t="shared" ref="AC472:AC535" si="155">B472</f>
        <v>46222</v>
      </c>
      <c r="AD472">
        <f>IF(VLOOKUP(AC472,'FOMC exp '!$C$6:$C$22,1)=AC472,MATCH(AC472,'FOMC exp '!$C$6:$C$22,1),AD471)</f>
        <v>11</v>
      </c>
      <c r="AE472" s="18" cm="1">
        <f t="array" ref="AE472">INDEX('FOMC exp '!$C$6:$D$23,AD472,2)</f>
        <v>4.4999999999999998E-2</v>
      </c>
    </row>
    <row r="473" spans="1:31">
      <c r="A473" t="str">
        <f t="shared" si="149"/>
        <v>Monday</v>
      </c>
      <c r="B473" s="1">
        <f t="shared" si="152"/>
        <v>46223</v>
      </c>
      <c r="C473" s="45">
        <f>IF(LEFT(A473,1)="S","",VLOOKUP(B473,$AC$4:$AE$734,3)-'Quoting term rates'!$C$4)</f>
        <v>4.3299999999999998E-2</v>
      </c>
      <c r="D473">
        <f t="shared" si="147"/>
        <v>1.058025017001075</v>
      </c>
      <c r="E473" s="45">
        <f t="shared" si="145"/>
        <v>4.4539458678863525E-2</v>
      </c>
      <c r="AC473" s="1">
        <f t="shared" si="155"/>
        <v>46223</v>
      </c>
      <c r="AD473">
        <f>IF(VLOOKUP(AC473,'FOMC exp '!$C$6:$C$22,1)=AC473,MATCH(AC473,'FOMC exp '!$C$6:$C$22,1),AD472)</f>
        <v>11</v>
      </c>
      <c r="AE473" s="18" cm="1">
        <f t="array" ref="AE473">INDEX('FOMC exp '!$C$6:$D$23,AD473,2)</f>
        <v>4.4999999999999998E-2</v>
      </c>
    </row>
    <row r="474" spans="1:31">
      <c r="A474" t="str">
        <f t="shared" si="149"/>
        <v>Tuesday</v>
      </c>
      <c r="B474" s="1">
        <f t="shared" si="152"/>
        <v>46224</v>
      </c>
      <c r="C474" s="45">
        <f>IF(LEFT(A474,1)="S","",VLOOKUP(B474,$AC$4:$AE$734,3)-'Quoting term rates'!$C$4)</f>
        <v>4.3299999999999998E-2</v>
      </c>
      <c r="D474">
        <f t="shared" ref="D474:D477" si="156">D473*(1+C473*1/360)</f>
        <v>1.0581522738989533</v>
      </c>
      <c r="E474" s="45">
        <f t="shared" si="145"/>
        <v>4.4542167241751446E-2</v>
      </c>
      <c r="AC474" s="1">
        <f t="shared" si="155"/>
        <v>46224</v>
      </c>
      <c r="AD474">
        <f>IF(VLOOKUP(AC474,'FOMC exp '!$C$6:$C$22,1)=AC474,MATCH(AC474,'FOMC exp '!$C$6:$C$22,1),AD473)</f>
        <v>11</v>
      </c>
      <c r="AE474" s="18" cm="1">
        <f t="array" ref="AE474">INDEX('FOMC exp '!$C$6:$D$23,AD474,2)</f>
        <v>4.4999999999999998E-2</v>
      </c>
    </row>
    <row r="475" spans="1:31">
      <c r="A475" t="str">
        <f t="shared" si="149"/>
        <v>Wednesday</v>
      </c>
      <c r="B475" s="1">
        <f t="shared" si="152"/>
        <v>46225</v>
      </c>
      <c r="C475" s="45">
        <f>IF(LEFT(A475,1)="S","",VLOOKUP(B475,$AC$4:$AE$734,3)-'Quoting term rates'!$C$4)</f>
        <v>4.3299999999999998E-2</v>
      </c>
      <c r="D475">
        <f t="shared" si="156"/>
        <v>1.0582795461030083</v>
      </c>
      <c r="E475" s="45">
        <f t="shared" si="145"/>
        <v>4.4544876002299366E-2</v>
      </c>
      <c r="AC475" s="1">
        <f t="shared" si="155"/>
        <v>46225</v>
      </c>
      <c r="AD475">
        <f>IF(VLOOKUP(AC475,'FOMC exp '!$C$6:$C$22,1)=AC475,MATCH(AC475,'FOMC exp '!$C$6:$C$22,1),AD474)</f>
        <v>11</v>
      </c>
      <c r="AE475" s="18" cm="1">
        <f t="array" ref="AE475">INDEX('FOMC exp '!$C$6:$D$23,AD475,2)</f>
        <v>4.4999999999999998E-2</v>
      </c>
    </row>
    <row r="476" spans="1:31">
      <c r="A476" t="str">
        <f t="shared" si="149"/>
        <v>Thursday</v>
      </c>
      <c r="B476" s="1">
        <f t="shared" si="152"/>
        <v>46226</v>
      </c>
      <c r="C476" s="45">
        <f>IF(LEFT(A476,1)="S","",VLOOKUP(B476,$AC$4:$AE$734,3)-'Quoting term rates'!$C$4)</f>
        <v>4.3299999999999998E-2</v>
      </c>
      <c r="D476">
        <f t="shared" si="156"/>
        <v>1.0584068336150814</v>
      </c>
      <c r="E476" s="45">
        <f t="shared" si="145"/>
        <v>4.4547584960655286E-2</v>
      </c>
      <c r="AC476" s="1">
        <f t="shared" si="155"/>
        <v>46226</v>
      </c>
      <c r="AD476">
        <f>IF(VLOOKUP(AC476,'FOMC exp '!$C$6:$C$22,1)=AC476,MATCH(AC476,'FOMC exp '!$C$6:$C$22,1),AD475)</f>
        <v>11</v>
      </c>
      <c r="AE476" s="18" cm="1">
        <f t="array" ref="AE476">INDEX('FOMC exp '!$C$6:$D$23,AD476,2)</f>
        <v>4.4999999999999998E-2</v>
      </c>
    </row>
    <row r="477" spans="1:31">
      <c r="A477" t="str">
        <f t="shared" si="149"/>
        <v>Friday</v>
      </c>
      <c r="B477" s="1">
        <f t="shared" si="152"/>
        <v>46227</v>
      </c>
      <c r="C477" s="45">
        <f>IF(LEFT(A477,1)="S","",VLOOKUP(B477,$AC$4:$AE$734,3)-'Quoting term rates'!$C$4)</f>
        <v>4.3299999999999998E-2</v>
      </c>
      <c r="D477">
        <f t="shared" si="156"/>
        <v>1.0585341364370133</v>
      </c>
      <c r="E477" s="45">
        <f t="shared" si="145"/>
        <v>4.4550294116965754E-2</v>
      </c>
      <c r="AC477" s="1">
        <f t="shared" si="155"/>
        <v>46227</v>
      </c>
      <c r="AD477">
        <f>IF(VLOOKUP(AC477,'FOMC exp '!$C$6:$C$22,1)=AC477,MATCH(AC477,'FOMC exp '!$C$6:$C$22,1),AD476)</f>
        <v>11</v>
      </c>
      <c r="AE477" s="18" cm="1">
        <f t="array" ref="AE477">INDEX('FOMC exp '!$C$6:$D$23,AD477,2)</f>
        <v>4.4999999999999998E-2</v>
      </c>
    </row>
    <row r="478" spans="1:31">
      <c r="A478" t="str">
        <f t="shared" si="149"/>
        <v>Saturday</v>
      </c>
      <c r="B478" s="1">
        <f t="shared" si="152"/>
        <v>46228</v>
      </c>
      <c r="C478" s="45" t="str">
        <f>IF(LEFT(A478,1)="S","",VLOOKUP(B478,$AC$4:$AE$734,3)-'Quoting term rates'!$C$4)</f>
        <v/>
      </c>
      <c r="E478" s="45" t="str">
        <f t="shared" si="145"/>
        <v/>
      </c>
      <c r="AC478" s="1">
        <f t="shared" si="155"/>
        <v>46228</v>
      </c>
      <c r="AD478">
        <f>IF(VLOOKUP(AC478,'FOMC exp '!$C$6:$C$22,1)=AC478,MATCH(AC478,'FOMC exp '!$C$6:$C$22,1),AD477)</f>
        <v>11</v>
      </c>
      <c r="AE478" s="18" cm="1">
        <f t="array" ref="AE478">INDEX('FOMC exp '!$C$6:$D$23,AD478,2)</f>
        <v>4.4999999999999998E-2</v>
      </c>
    </row>
    <row r="479" spans="1:31">
      <c r="A479" t="str">
        <f t="shared" si="149"/>
        <v>Sunday</v>
      </c>
      <c r="B479" s="1">
        <f t="shared" si="152"/>
        <v>46229</v>
      </c>
      <c r="C479" s="45" t="str">
        <f>IF(LEFT(A479,1)="S","",VLOOKUP(B479,$AC$4:$AE$734,3)-'Quoting term rates'!$C$4)</f>
        <v/>
      </c>
      <c r="E479" s="45" t="str">
        <f t="shared" si="145"/>
        <v/>
      </c>
      <c r="AC479" s="1">
        <f t="shared" si="155"/>
        <v>46229</v>
      </c>
      <c r="AD479">
        <f>IF(VLOOKUP(AC479,'FOMC exp '!$C$6:$C$22,1)=AC479,MATCH(AC479,'FOMC exp '!$C$6:$C$22,1),AD478)</f>
        <v>11</v>
      </c>
      <c r="AE479" s="18" cm="1">
        <f t="array" ref="AE479">INDEX('FOMC exp '!$C$6:$D$23,AD479,2)</f>
        <v>4.4999999999999998E-2</v>
      </c>
    </row>
    <row r="480" spans="1:31">
      <c r="A480" t="str">
        <f t="shared" si="149"/>
        <v>Monday</v>
      </c>
      <c r="B480" s="1">
        <f t="shared" si="152"/>
        <v>46230</v>
      </c>
      <c r="C480" s="45">
        <f>IF(LEFT(A480,1)="S","",VLOOKUP(B480,$AC$4:$AE$734,3)-'Quoting term rates'!$C$4)</f>
        <v>4.3299999999999998E-2</v>
      </c>
      <c r="D480">
        <f t="shared" si="147"/>
        <v>1.0589160908379112</v>
      </c>
      <c r="E480" s="45">
        <f t="shared" si="145"/>
        <v>4.4558388028672312E-2</v>
      </c>
      <c r="AC480" s="1">
        <f t="shared" si="155"/>
        <v>46230</v>
      </c>
      <c r="AD480">
        <f>IF(VLOOKUP(AC480,'FOMC exp '!$C$6:$C$22,1)=AC480,MATCH(AC480,'FOMC exp '!$C$6:$C$22,1),AD479)</f>
        <v>11</v>
      </c>
      <c r="AE480" s="18" cm="1">
        <f t="array" ref="AE480">INDEX('FOMC exp '!$C$6:$D$23,AD480,2)</f>
        <v>4.4999999999999998E-2</v>
      </c>
    </row>
    <row r="481" spans="1:31">
      <c r="A481" t="str">
        <f t="shared" si="149"/>
        <v>Tuesday</v>
      </c>
      <c r="B481" s="1">
        <f t="shared" si="152"/>
        <v>46231</v>
      </c>
      <c r="C481" s="45">
        <f>IF(LEFT(A481,1)="S","",VLOOKUP(B481,$AC$4:$AE$734,3)-'Quoting term rates'!$C$4)</f>
        <v>4.3299999999999998E-2</v>
      </c>
      <c r="D481">
        <f t="shared" ref="D481:D484" si="157">D480*(1+C480*1/360)</f>
        <v>1.0590434549121703</v>
      </c>
      <c r="E481" s="45">
        <f t="shared" si="145"/>
        <v>4.4561098046921002E-2</v>
      </c>
      <c r="AC481" s="1">
        <f t="shared" si="155"/>
        <v>46231</v>
      </c>
      <c r="AD481">
        <f>IF(VLOOKUP(AC481,'FOMC exp '!$C$6:$C$22,1)=AC481,MATCH(AC481,'FOMC exp '!$C$6:$C$22,1),AD480)</f>
        <v>11</v>
      </c>
      <c r="AE481" s="18" cm="1">
        <f t="array" ref="AE481">INDEX('FOMC exp '!$C$6:$D$23,AD481,2)</f>
        <v>4.4999999999999998E-2</v>
      </c>
    </row>
    <row r="482" spans="1:31">
      <c r="A482" t="str">
        <f t="shared" si="149"/>
        <v>Wednesday</v>
      </c>
      <c r="B482" s="1">
        <f t="shared" si="152"/>
        <v>46232</v>
      </c>
      <c r="C482" s="45">
        <f>IF(LEFT(A482,1)="S","",VLOOKUP(B482,$AC$4:$AE$734,3)-'Quoting term rates'!$C$4)</f>
        <v>4.3299999999999998E-2</v>
      </c>
      <c r="D482">
        <f t="shared" si="157"/>
        <v>1.0591708343054973</v>
      </c>
      <c r="E482" s="45">
        <f t="shared" si="145"/>
        <v>4.4563808263554452E-2</v>
      </c>
      <c r="AC482" s="1">
        <f t="shared" si="155"/>
        <v>46232</v>
      </c>
      <c r="AD482">
        <f>IF(VLOOKUP(AC482,'FOMC exp '!$C$6:$C$22,1)=AC482,MATCH(AC482,'FOMC exp '!$C$6:$C$22,1),AD481)</f>
        <v>12</v>
      </c>
      <c r="AE482" s="18" cm="1">
        <f t="array" ref="AE482">INDEX('FOMC exp '!$C$6:$D$23,AD482,2)</f>
        <v>4.4999999999999998E-2</v>
      </c>
    </row>
    <row r="483" spans="1:31">
      <c r="A483" t="str">
        <f t="shared" si="149"/>
        <v>Thursday</v>
      </c>
      <c r="B483" s="1">
        <f t="shared" si="152"/>
        <v>46233</v>
      </c>
      <c r="C483" s="45">
        <f>IF(LEFT(A483,1)="S","",VLOOKUP(B483,$AC$4:$AE$734,3)-'Quoting term rates'!$C$4)</f>
        <v>4.3299999999999998E-2</v>
      </c>
      <c r="D483">
        <f t="shared" si="157"/>
        <v>1.0592982290197346</v>
      </c>
      <c r="E483" s="45">
        <f t="shared" si="145"/>
        <v>4.4566518678714931E-2</v>
      </c>
      <c r="AC483" s="1">
        <f t="shared" si="155"/>
        <v>46233</v>
      </c>
      <c r="AD483">
        <f>IF(VLOOKUP(AC483,'FOMC exp '!$C$6:$C$22,1)=AC483,MATCH(AC483,'FOMC exp '!$C$6:$C$22,1),AD482)</f>
        <v>12</v>
      </c>
      <c r="AE483" s="18" cm="1">
        <f t="array" ref="AE483">INDEX('FOMC exp '!$C$6:$D$23,AD483,2)</f>
        <v>4.4999999999999998E-2</v>
      </c>
    </row>
    <row r="484" spans="1:31">
      <c r="A484" t="str">
        <f t="shared" si="149"/>
        <v>Friday</v>
      </c>
      <c r="B484" s="1">
        <f t="shared" si="152"/>
        <v>46234</v>
      </c>
      <c r="C484" s="45">
        <f>IF(LEFT(A484,1)="S","",VLOOKUP(B484,$AC$4:$AE$734,3)-'Quoting term rates'!$C$4)</f>
        <v>4.3299999999999998E-2</v>
      </c>
      <c r="D484">
        <f t="shared" si="157"/>
        <v>1.0594256390567249</v>
      </c>
      <c r="E484" s="45">
        <f t="shared" si="145"/>
        <v>4.4569229292543699E-2</v>
      </c>
      <c r="AC484" s="1">
        <f t="shared" si="155"/>
        <v>46234</v>
      </c>
      <c r="AD484">
        <f>IF(VLOOKUP(AC484,'FOMC exp '!$C$6:$C$22,1)=AC484,MATCH(AC484,'FOMC exp '!$C$6:$C$22,1),AD483)</f>
        <v>12</v>
      </c>
      <c r="AE484" s="18" cm="1">
        <f t="array" ref="AE484">INDEX('FOMC exp '!$C$6:$D$23,AD484,2)</f>
        <v>4.4999999999999998E-2</v>
      </c>
    </row>
    <row r="485" spans="1:31">
      <c r="A485" t="str">
        <f t="shared" si="149"/>
        <v>Saturday</v>
      </c>
      <c r="B485" s="1">
        <f t="shared" si="152"/>
        <v>46235</v>
      </c>
      <c r="C485" s="45" t="str">
        <f>IF(LEFT(A485,1)="S","",VLOOKUP(B485,$AC$4:$AE$734,3)-'Quoting term rates'!$C$4)</f>
        <v/>
      </c>
      <c r="E485" s="45" t="str">
        <f t="shared" si="145"/>
        <v/>
      </c>
      <c r="AC485" s="1">
        <f t="shared" si="155"/>
        <v>46235</v>
      </c>
      <c r="AD485">
        <f>IF(VLOOKUP(AC485,'FOMC exp '!$C$6:$C$22,1)=AC485,MATCH(AC485,'FOMC exp '!$C$6:$C$22,1),AD484)</f>
        <v>12</v>
      </c>
      <c r="AE485" s="18" cm="1">
        <f t="array" ref="AE485">INDEX('FOMC exp '!$C$6:$D$23,AD485,2)</f>
        <v>4.4999999999999998E-2</v>
      </c>
    </row>
    <row r="486" spans="1:31">
      <c r="A486" t="str">
        <f t="shared" si="149"/>
        <v>Sunday</v>
      </c>
      <c r="B486" s="1">
        <f t="shared" si="152"/>
        <v>46236</v>
      </c>
      <c r="C486" s="45" t="str">
        <f>IF(LEFT(A486,1)="S","",VLOOKUP(B486,$AC$4:$AE$734,3)-'Quoting term rates'!$C$4)</f>
        <v/>
      </c>
      <c r="E486" s="45" t="str">
        <f t="shared" si="145"/>
        <v/>
      </c>
      <c r="AC486" s="1">
        <f t="shared" si="155"/>
        <v>46236</v>
      </c>
      <c r="AD486">
        <f>IF(VLOOKUP(AC486,'FOMC exp '!$C$6:$C$22,1)=AC486,MATCH(AC486,'FOMC exp '!$C$6:$C$22,1),AD485)</f>
        <v>12</v>
      </c>
      <c r="AE486" s="18" cm="1">
        <f t="array" ref="AE486">INDEX('FOMC exp '!$C$6:$D$23,AD486,2)</f>
        <v>4.4999999999999998E-2</v>
      </c>
    </row>
    <row r="487" spans="1:31">
      <c r="A487" t="str">
        <f t="shared" si="149"/>
        <v>Monday</v>
      </c>
      <c r="B487" s="1">
        <f t="shared" si="152"/>
        <v>46237</v>
      </c>
      <c r="C487" s="45">
        <f>IF(LEFT(A487,1)="S","",VLOOKUP(B487,$AC$4:$AE$734,3)-'Quoting term rates'!$C$4)</f>
        <v>4.3299999999999998E-2</v>
      </c>
      <c r="D487">
        <f t="shared" si="147"/>
        <v>1.0598079151414845</v>
      </c>
      <c r="E487" s="45">
        <f t="shared" si="145"/>
        <v>4.4577328055764871E-2</v>
      </c>
      <c r="AC487" s="1">
        <f t="shared" si="155"/>
        <v>46237</v>
      </c>
      <c r="AD487">
        <f>IF(VLOOKUP(AC487,'FOMC exp '!$C$6:$C$22,1)=AC487,MATCH(AC487,'FOMC exp '!$C$6:$C$22,1),AD486)</f>
        <v>12</v>
      </c>
      <c r="AE487" s="18" cm="1">
        <f t="array" ref="AE487">INDEX('FOMC exp '!$C$6:$D$23,AD487,2)</f>
        <v>4.4999999999999998E-2</v>
      </c>
    </row>
    <row r="488" spans="1:31">
      <c r="A488" t="str">
        <f t="shared" si="149"/>
        <v>Tuesday</v>
      </c>
      <c r="B488" s="1">
        <f t="shared" si="152"/>
        <v>46238</v>
      </c>
      <c r="C488" s="45">
        <f>IF(LEFT(A488,1)="S","",VLOOKUP(B488,$AC$4:$AE$734,3)-'Quoting term rates'!$C$4)</f>
        <v>4.3299999999999998E-2</v>
      </c>
      <c r="D488">
        <f t="shared" ref="D488:D491" si="158">D487*(1+C487*1/360)</f>
        <v>1.0599353864823891</v>
      </c>
      <c r="E488" s="45">
        <f t="shared" si="145"/>
        <v>4.4580039532355495E-2</v>
      </c>
      <c r="AC488" s="1">
        <f t="shared" si="155"/>
        <v>46238</v>
      </c>
      <c r="AD488">
        <f>IF(VLOOKUP(AC488,'FOMC exp '!$C$6:$C$22,1)=AC488,MATCH(AC488,'FOMC exp '!$C$6:$C$22,1),AD487)</f>
        <v>12</v>
      </c>
      <c r="AE488" s="18" cm="1">
        <f t="array" ref="AE488">INDEX('FOMC exp '!$C$6:$D$23,AD488,2)</f>
        <v>4.4999999999999998E-2</v>
      </c>
    </row>
    <row r="489" spans="1:31">
      <c r="A489" t="str">
        <f t="shared" si="149"/>
        <v>Wednesday</v>
      </c>
      <c r="B489" s="1">
        <f t="shared" si="152"/>
        <v>46239</v>
      </c>
      <c r="C489" s="45">
        <f>IF(LEFT(A489,1)="S","",VLOOKUP(B489,$AC$4:$AE$734,3)-'Quoting term rates'!$C$4)</f>
        <v>4.3299999999999998E-2</v>
      </c>
      <c r="D489">
        <f t="shared" si="158"/>
        <v>1.0600628731552633</v>
      </c>
      <c r="E489" s="45">
        <f t="shared" si="145"/>
        <v>4.4582751208030458E-2</v>
      </c>
      <c r="AC489" s="1">
        <f t="shared" si="155"/>
        <v>46239</v>
      </c>
      <c r="AD489">
        <f>IF(VLOOKUP(AC489,'FOMC exp '!$C$6:$C$22,1)=AC489,MATCH(AC489,'FOMC exp '!$C$6:$C$22,1),AD488)</f>
        <v>12</v>
      </c>
      <c r="AE489" s="18" cm="1">
        <f t="array" ref="AE489">INDEX('FOMC exp '!$C$6:$D$23,AD489,2)</f>
        <v>4.4999999999999998E-2</v>
      </c>
    </row>
    <row r="490" spans="1:31">
      <c r="A490" t="str">
        <f t="shared" si="149"/>
        <v>Thursday</v>
      </c>
      <c r="B490" s="1">
        <f t="shared" si="152"/>
        <v>46240</v>
      </c>
      <c r="C490" s="45">
        <f>IF(LEFT(A490,1)="S","",VLOOKUP(B490,$AC$4:$AE$734,3)-'Quoting term rates'!$C$4)</f>
        <v>4.3299999999999998E-2</v>
      </c>
      <c r="D490">
        <f t="shared" si="158"/>
        <v>1.060190375161951</v>
      </c>
      <c r="E490" s="45">
        <f t="shared" si="145"/>
        <v>4.4585463082926685E-2</v>
      </c>
      <c r="AC490" s="1">
        <f t="shared" si="155"/>
        <v>46240</v>
      </c>
      <c r="AD490">
        <f>IF(VLOOKUP(AC490,'FOMC exp '!$C$6:$C$22,1)=AC490,MATCH(AC490,'FOMC exp '!$C$6:$C$22,1),AD489)</f>
        <v>12</v>
      </c>
      <c r="AE490" s="18" cm="1">
        <f t="array" ref="AE490">INDEX('FOMC exp '!$C$6:$D$23,AD490,2)</f>
        <v>4.4999999999999998E-2</v>
      </c>
    </row>
    <row r="491" spans="1:31">
      <c r="A491" t="str">
        <f t="shared" si="149"/>
        <v>Friday</v>
      </c>
      <c r="B491" s="1">
        <f t="shared" si="152"/>
        <v>46241</v>
      </c>
      <c r="C491" s="45">
        <f>IF(LEFT(A491,1)="S","",VLOOKUP(B491,$AC$4:$AE$734,3)-'Quoting term rates'!$C$4)</f>
        <v>4.3299999999999998E-2</v>
      </c>
      <c r="D491">
        <f t="shared" si="158"/>
        <v>1.0603178925042969</v>
      </c>
      <c r="E491" s="45">
        <f t="shared" si="145"/>
        <v>4.4588175157180429E-2</v>
      </c>
      <c r="AC491" s="1">
        <f t="shared" si="155"/>
        <v>46241</v>
      </c>
      <c r="AD491">
        <f>IF(VLOOKUP(AC491,'FOMC exp '!$C$6:$C$22,1)=AC491,MATCH(AC491,'FOMC exp '!$C$6:$C$22,1),AD490)</f>
        <v>12</v>
      </c>
      <c r="AE491" s="18" cm="1">
        <f t="array" ref="AE491">INDEX('FOMC exp '!$C$6:$D$23,AD491,2)</f>
        <v>4.4999999999999998E-2</v>
      </c>
    </row>
    <row r="492" spans="1:31">
      <c r="A492" t="str">
        <f t="shared" si="149"/>
        <v>Saturday</v>
      </c>
      <c r="B492" s="1">
        <f t="shared" si="152"/>
        <v>46242</v>
      </c>
      <c r="C492" s="45" t="str">
        <f>IF(LEFT(A492,1)="S","",VLOOKUP(B492,$AC$4:$AE$734,3)-'Quoting term rates'!$C$4)</f>
        <v/>
      </c>
      <c r="E492" s="45" t="str">
        <f t="shared" si="145"/>
        <v/>
      </c>
      <c r="AC492" s="1">
        <f t="shared" si="155"/>
        <v>46242</v>
      </c>
      <c r="AD492">
        <f>IF(VLOOKUP(AC492,'FOMC exp '!$C$6:$C$22,1)=AC492,MATCH(AC492,'FOMC exp '!$C$6:$C$22,1),AD491)</f>
        <v>12</v>
      </c>
      <c r="AE492" s="18" cm="1">
        <f t="array" ref="AE492">INDEX('FOMC exp '!$C$6:$D$23,AD492,2)</f>
        <v>4.4999999999999998E-2</v>
      </c>
    </row>
    <row r="493" spans="1:31">
      <c r="A493" t="str">
        <f t="shared" si="149"/>
        <v>Sunday</v>
      </c>
      <c r="B493" s="1">
        <f t="shared" si="152"/>
        <v>46243</v>
      </c>
      <c r="C493" s="45" t="str">
        <f>IF(LEFT(A493,1)="S","",VLOOKUP(B493,$AC$4:$AE$734,3)-'Quoting term rates'!$C$4)</f>
        <v/>
      </c>
      <c r="E493" s="45" t="str">
        <f t="shared" si="145"/>
        <v/>
      </c>
      <c r="AC493" s="1">
        <f t="shared" si="155"/>
        <v>46243</v>
      </c>
      <c r="AD493">
        <f>IF(VLOOKUP(AC493,'FOMC exp '!$C$6:$C$22,1)=AC493,MATCH(AC493,'FOMC exp '!$C$6:$C$22,1),AD492)</f>
        <v>12</v>
      </c>
      <c r="AE493" s="18" cm="1">
        <f t="array" ref="AE493">INDEX('FOMC exp '!$C$6:$D$23,AD493,2)</f>
        <v>4.4999999999999998E-2</v>
      </c>
    </row>
    <row r="494" spans="1:31">
      <c r="A494" t="str">
        <f t="shared" si="149"/>
        <v>Monday</v>
      </c>
      <c r="B494" s="1">
        <f t="shared" si="152"/>
        <v>46244</v>
      </c>
      <c r="C494" s="45">
        <f>IF(LEFT(A494,1)="S","",VLOOKUP(B494,$AC$4:$AE$734,3)-'Quoting term rates'!$C$4)</f>
        <v>4.3299999999999998E-2</v>
      </c>
      <c r="D494">
        <f t="shared" si="147"/>
        <v>1.0607004905438422</v>
      </c>
      <c r="E494" s="45">
        <f t="shared" si="145"/>
        <v>4.4596278766904467E-2</v>
      </c>
      <c r="AC494" s="1">
        <f t="shared" si="155"/>
        <v>46244</v>
      </c>
      <c r="AD494">
        <f>IF(VLOOKUP(AC494,'FOMC exp '!$C$6:$C$22,1)=AC494,MATCH(AC494,'FOMC exp '!$C$6:$C$22,1),AD493)</f>
        <v>12</v>
      </c>
      <c r="AE494" s="18" cm="1">
        <f t="array" ref="AE494">INDEX('FOMC exp '!$C$6:$D$23,AD494,2)</f>
        <v>4.4999999999999998E-2</v>
      </c>
    </row>
    <row r="495" spans="1:31">
      <c r="A495" t="str">
        <f t="shared" si="149"/>
        <v>Tuesday</v>
      </c>
      <c r="B495" s="1">
        <f t="shared" si="152"/>
        <v>46245</v>
      </c>
      <c r="C495" s="45">
        <f>IF(LEFT(A495,1)="S","",VLOOKUP(B495,$AC$4:$AE$734,3)-'Quoting term rates'!$C$4)</f>
        <v>4.3299999999999998E-2</v>
      </c>
      <c r="D495">
        <f t="shared" ref="D495:D498" si="159">D494*(1+C494*1/360)</f>
        <v>1.0608280692417327</v>
      </c>
      <c r="E495" s="45">
        <f t="shared" si="145"/>
        <v>4.4598991704732714E-2</v>
      </c>
      <c r="AC495" s="1">
        <f t="shared" si="155"/>
        <v>46245</v>
      </c>
      <c r="AD495">
        <f>IF(VLOOKUP(AC495,'FOMC exp '!$C$6:$C$22,1)=AC495,MATCH(AC495,'FOMC exp '!$C$6:$C$22,1),AD494)</f>
        <v>12</v>
      </c>
      <c r="AE495" s="18" cm="1">
        <f t="array" ref="AE495">INDEX('FOMC exp '!$C$6:$D$23,AD495,2)</f>
        <v>4.4999999999999998E-2</v>
      </c>
    </row>
    <row r="496" spans="1:31">
      <c r="A496" t="str">
        <f t="shared" si="149"/>
        <v>Wednesday</v>
      </c>
      <c r="B496" s="1">
        <f t="shared" si="152"/>
        <v>46246</v>
      </c>
      <c r="C496" s="45">
        <f>IF(LEFT(A496,1)="S","",VLOOKUP(B496,$AC$4:$AE$734,3)-'Quoting term rates'!$C$4)</f>
        <v>4.3299999999999998E-2</v>
      </c>
      <c r="D496">
        <f t="shared" si="159"/>
        <v>1.0609556632845054</v>
      </c>
      <c r="E496" s="45">
        <f t="shared" si="145"/>
        <v>4.4601704842321031E-2</v>
      </c>
      <c r="AC496" s="1">
        <f t="shared" si="155"/>
        <v>46246</v>
      </c>
      <c r="AD496">
        <f>IF(VLOOKUP(AC496,'FOMC exp '!$C$6:$C$22,1)=AC496,MATCH(AC496,'FOMC exp '!$C$6:$C$22,1),AD495)</f>
        <v>12</v>
      </c>
      <c r="AE496" s="18" cm="1">
        <f t="array" ref="AE496">INDEX('FOMC exp '!$C$6:$D$23,AD496,2)</f>
        <v>4.4999999999999998E-2</v>
      </c>
    </row>
    <row r="497" spans="1:31">
      <c r="A497" t="str">
        <f t="shared" si="149"/>
        <v>Thursday</v>
      </c>
      <c r="B497" s="1">
        <f t="shared" si="152"/>
        <v>46247</v>
      </c>
      <c r="C497" s="45">
        <f>IF(LEFT(A497,1)="S","",VLOOKUP(B497,$AC$4:$AE$734,3)-'Quoting term rates'!$C$4)</f>
        <v>4.3299999999999998E-2</v>
      </c>
      <c r="D497">
        <f t="shared" si="159"/>
        <v>1.061083272674006</v>
      </c>
      <c r="E497" s="45">
        <f t="shared" ref="E497:E560" si="160">IF((D497-1)*360/(B497-$B$4)&lt;0,"",(D497-1)*360/(B497-$B$4))</f>
        <v>4.4604418179801569E-2</v>
      </c>
      <c r="AC497" s="1">
        <f t="shared" si="155"/>
        <v>46247</v>
      </c>
      <c r="AD497">
        <f>IF(VLOOKUP(AC497,'FOMC exp '!$C$6:$C$22,1)=AC497,MATCH(AC497,'FOMC exp '!$C$6:$C$22,1),AD496)</f>
        <v>12</v>
      </c>
      <c r="AE497" s="18" cm="1">
        <f t="array" ref="AE497">INDEX('FOMC exp '!$C$6:$D$23,AD497,2)</f>
        <v>4.4999999999999998E-2</v>
      </c>
    </row>
    <row r="498" spans="1:31">
      <c r="A498" t="str">
        <f t="shared" si="149"/>
        <v>Friday</v>
      </c>
      <c r="B498" s="1">
        <f t="shared" si="152"/>
        <v>46248</v>
      </c>
      <c r="C498" s="45">
        <f>IF(LEFT(A498,1)="S","",VLOOKUP(B498,$AC$4:$AE$734,3)-'Quoting term rates'!$C$4)</f>
        <v>4.3299999999999998E-2</v>
      </c>
      <c r="D498">
        <f t="shared" si="159"/>
        <v>1.0612108974120804</v>
      </c>
      <c r="E498" s="45">
        <f t="shared" si="160"/>
        <v>4.4607131717305563E-2</v>
      </c>
      <c r="AC498" s="1">
        <f t="shared" si="155"/>
        <v>46248</v>
      </c>
      <c r="AD498">
        <f>IF(VLOOKUP(AC498,'FOMC exp '!$C$6:$C$22,1)=AC498,MATCH(AC498,'FOMC exp '!$C$6:$C$22,1),AD497)</f>
        <v>12</v>
      </c>
      <c r="AE498" s="18" cm="1">
        <f t="array" ref="AE498">INDEX('FOMC exp '!$C$6:$D$23,AD498,2)</f>
        <v>4.4999999999999998E-2</v>
      </c>
    </row>
    <row r="499" spans="1:31">
      <c r="A499" t="str">
        <f t="shared" si="149"/>
        <v>Saturday</v>
      </c>
      <c r="B499" s="1">
        <f t="shared" si="152"/>
        <v>46249</v>
      </c>
      <c r="C499" s="45" t="str">
        <f>IF(LEFT(A499,1)="S","",VLOOKUP(B499,$AC$4:$AE$734,3)-'Quoting term rates'!$C$4)</f>
        <v/>
      </c>
      <c r="E499" s="45" t="str">
        <f t="shared" si="160"/>
        <v/>
      </c>
      <c r="AC499" s="1">
        <f t="shared" si="155"/>
        <v>46249</v>
      </c>
      <c r="AD499">
        <f>IF(VLOOKUP(AC499,'FOMC exp '!$C$6:$C$22,1)=AC499,MATCH(AC499,'FOMC exp '!$C$6:$C$22,1),AD498)</f>
        <v>12</v>
      </c>
      <c r="AE499" s="18" cm="1">
        <f t="array" ref="AE499">INDEX('FOMC exp '!$C$6:$D$23,AD499,2)</f>
        <v>4.4999999999999998E-2</v>
      </c>
    </row>
    <row r="500" spans="1:31">
      <c r="A500" t="str">
        <f t="shared" si="149"/>
        <v>Sunday</v>
      </c>
      <c r="B500" s="1">
        <f t="shared" si="152"/>
        <v>46250</v>
      </c>
      <c r="C500" s="45" t="str">
        <f>IF(LEFT(A500,1)="S","",VLOOKUP(B500,$AC$4:$AE$734,3)-'Quoting term rates'!$C$4)</f>
        <v/>
      </c>
      <c r="E500" s="45" t="str">
        <f t="shared" si="160"/>
        <v/>
      </c>
      <c r="AC500" s="1">
        <f t="shared" si="155"/>
        <v>46250</v>
      </c>
      <c r="AD500">
        <f>IF(VLOOKUP(AC500,'FOMC exp '!$C$6:$C$22,1)=AC500,MATCH(AC500,'FOMC exp '!$C$6:$C$22,1),AD499)</f>
        <v>12</v>
      </c>
      <c r="AE500" s="18" cm="1">
        <f t="array" ref="AE500">INDEX('FOMC exp '!$C$6:$D$23,AD500,2)</f>
        <v>4.4999999999999998E-2</v>
      </c>
    </row>
    <row r="501" spans="1:31">
      <c r="A501" t="str">
        <f t="shared" si="149"/>
        <v>Monday</v>
      </c>
      <c r="B501" s="1">
        <f t="shared" si="152"/>
        <v>46251</v>
      </c>
      <c r="C501" s="45">
        <f>IF(LEFT(A501,1)="S","",VLOOKUP(B501,$AC$4:$AE$734,3)-'Quoting term rates'!$C$4)</f>
        <v>4.3299999999999998E-2</v>
      </c>
      <c r="D501">
        <f t="shared" si="147"/>
        <v>1.0615938176775632</v>
      </c>
      <c r="E501" s="45">
        <f t="shared" si="160"/>
        <v>4.4615240168858671E-2</v>
      </c>
      <c r="AC501" s="1">
        <f t="shared" si="155"/>
        <v>46251</v>
      </c>
      <c r="AD501">
        <f>IF(VLOOKUP(AC501,'FOMC exp '!$C$6:$C$22,1)=AC501,MATCH(AC501,'FOMC exp '!$C$6:$C$22,1),AD500)</f>
        <v>12</v>
      </c>
      <c r="AE501" s="18" cm="1">
        <f t="array" ref="AE501">INDEX('FOMC exp '!$C$6:$D$23,AD501,2)</f>
        <v>4.4999999999999998E-2</v>
      </c>
    </row>
    <row r="502" spans="1:31">
      <c r="A502" t="str">
        <f t="shared" si="149"/>
        <v>Tuesday</v>
      </c>
      <c r="B502" s="1">
        <f t="shared" si="152"/>
        <v>46252</v>
      </c>
      <c r="C502" s="45">
        <f>IF(LEFT(A502,1)="S","",VLOOKUP(B502,$AC$4:$AE$734,3)-'Quoting term rates'!$C$4)</f>
        <v>4.3299999999999998E-2</v>
      </c>
      <c r="D502">
        <f t="shared" ref="D502:D505" si="161">D501*(1+C501*1/360)</f>
        <v>1.061721503822856</v>
      </c>
      <c r="E502" s="45">
        <f t="shared" si="160"/>
        <v>4.4617954570739284E-2</v>
      </c>
      <c r="AC502" s="1">
        <f t="shared" si="155"/>
        <v>46252</v>
      </c>
      <c r="AD502">
        <f>IF(VLOOKUP(AC502,'FOMC exp '!$C$6:$C$22,1)=AC502,MATCH(AC502,'FOMC exp '!$C$6:$C$22,1),AD501)</f>
        <v>12</v>
      </c>
      <c r="AE502" s="18" cm="1">
        <f t="array" ref="AE502">INDEX('FOMC exp '!$C$6:$D$23,AD502,2)</f>
        <v>4.4999999999999998E-2</v>
      </c>
    </row>
    <row r="503" spans="1:31">
      <c r="A503" t="str">
        <f t="shared" si="149"/>
        <v>Wednesday</v>
      </c>
      <c r="B503" s="1">
        <f t="shared" si="152"/>
        <v>46253</v>
      </c>
      <c r="C503" s="45">
        <f>IF(LEFT(A503,1)="S","",VLOOKUP(B503,$AC$4:$AE$734,3)-'Quoting term rates'!$C$4)</f>
        <v>4.3299999999999998E-2</v>
      </c>
      <c r="D503">
        <f t="shared" si="161"/>
        <v>1.0618492053259547</v>
      </c>
      <c r="E503" s="45">
        <f t="shared" si="160"/>
        <v>4.4620669173033471E-2</v>
      </c>
      <c r="AC503" s="1">
        <f t="shared" si="155"/>
        <v>46253</v>
      </c>
      <c r="AD503">
        <f>IF(VLOOKUP(AC503,'FOMC exp '!$C$6:$C$22,1)=AC503,MATCH(AC503,'FOMC exp '!$C$6:$C$22,1),AD502)</f>
        <v>12</v>
      </c>
      <c r="AE503" s="18" cm="1">
        <f t="array" ref="AE503">INDEX('FOMC exp '!$C$6:$D$23,AD503,2)</f>
        <v>4.4999999999999998E-2</v>
      </c>
    </row>
    <row r="504" spans="1:31">
      <c r="A504" t="str">
        <f t="shared" si="149"/>
        <v>Thursday</v>
      </c>
      <c r="B504" s="1">
        <f t="shared" si="152"/>
        <v>46254</v>
      </c>
      <c r="C504" s="45">
        <f>IF(LEFT(A504,1)="S","",VLOOKUP(B504,$AC$4:$AE$734,3)-'Quoting term rates'!$C$4)</f>
        <v>4.3299999999999998E-2</v>
      </c>
      <c r="D504">
        <f t="shared" si="161"/>
        <v>1.0619769221887065</v>
      </c>
      <c r="E504" s="45">
        <f t="shared" si="160"/>
        <v>4.4623383975868708E-2</v>
      </c>
      <c r="AC504" s="1">
        <f t="shared" si="155"/>
        <v>46254</v>
      </c>
      <c r="AD504">
        <f>IF(VLOOKUP(AC504,'FOMC exp '!$C$6:$C$22,1)=AC504,MATCH(AC504,'FOMC exp '!$C$6:$C$22,1),AD503)</f>
        <v>12</v>
      </c>
      <c r="AE504" s="18" cm="1">
        <f t="array" ref="AE504">INDEX('FOMC exp '!$C$6:$D$23,AD504,2)</f>
        <v>4.4999999999999998E-2</v>
      </c>
    </row>
    <row r="505" spans="1:31">
      <c r="A505" t="str">
        <f t="shared" si="149"/>
        <v>Friday</v>
      </c>
      <c r="B505" s="1">
        <f t="shared" si="152"/>
        <v>46255</v>
      </c>
      <c r="C505" s="45">
        <f>IF(LEFT(A505,1)="S","",VLOOKUP(B505,$AC$4:$AE$734,3)-'Quoting term rates'!$C$4)</f>
        <v>4.3299999999999998E-2</v>
      </c>
      <c r="D505">
        <f t="shared" si="161"/>
        <v>1.0621046544129586</v>
      </c>
      <c r="E505" s="45">
        <f t="shared" si="160"/>
        <v>4.4626098979371483E-2</v>
      </c>
      <c r="AC505" s="1">
        <f t="shared" si="155"/>
        <v>46255</v>
      </c>
      <c r="AD505">
        <f>IF(VLOOKUP(AC505,'FOMC exp '!$C$6:$C$22,1)=AC505,MATCH(AC505,'FOMC exp '!$C$6:$C$22,1),AD504)</f>
        <v>12</v>
      </c>
      <c r="AE505" s="18" cm="1">
        <f t="array" ref="AE505">INDEX('FOMC exp '!$C$6:$D$23,AD505,2)</f>
        <v>4.4999999999999998E-2</v>
      </c>
    </row>
    <row r="506" spans="1:31">
      <c r="A506" t="str">
        <f t="shared" si="149"/>
        <v>Saturday</v>
      </c>
      <c r="B506" s="1">
        <f t="shared" si="152"/>
        <v>46256</v>
      </c>
      <c r="C506" s="45" t="str">
        <f>IF(LEFT(A506,1)="S","",VLOOKUP(B506,$AC$4:$AE$734,3)-'Quoting term rates'!$C$4)</f>
        <v/>
      </c>
      <c r="E506" s="45" t="str">
        <f t="shared" si="160"/>
        <v/>
      </c>
      <c r="AC506" s="1">
        <f t="shared" si="155"/>
        <v>46256</v>
      </c>
      <c r="AD506">
        <f>IF(VLOOKUP(AC506,'FOMC exp '!$C$6:$C$22,1)=AC506,MATCH(AC506,'FOMC exp '!$C$6:$C$22,1),AD505)</f>
        <v>12</v>
      </c>
      <c r="AE506" s="18" cm="1">
        <f t="array" ref="AE506">INDEX('FOMC exp '!$C$6:$D$23,AD506,2)</f>
        <v>4.4999999999999998E-2</v>
      </c>
    </row>
    <row r="507" spans="1:31">
      <c r="A507" t="str">
        <f t="shared" si="149"/>
        <v>Sunday</v>
      </c>
      <c r="B507" s="1">
        <f t="shared" si="152"/>
        <v>46257</v>
      </c>
      <c r="C507" s="45" t="str">
        <f>IF(LEFT(A507,1)="S","",VLOOKUP(B507,$AC$4:$AE$734,3)-'Quoting term rates'!$C$4)</f>
        <v/>
      </c>
      <c r="E507" s="45" t="str">
        <f t="shared" si="160"/>
        <v/>
      </c>
      <c r="AC507" s="1">
        <f t="shared" si="155"/>
        <v>46257</v>
      </c>
      <c r="AD507">
        <f>IF(VLOOKUP(AC507,'FOMC exp '!$C$6:$C$22,1)=AC507,MATCH(AC507,'FOMC exp '!$C$6:$C$22,1),AD506)</f>
        <v>12</v>
      </c>
      <c r="AE507" s="18" cm="1">
        <f t="array" ref="AE507">INDEX('FOMC exp '!$C$6:$D$23,AD507,2)</f>
        <v>4.4999999999999998E-2</v>
      </c>
    </row>
    <row r="508" spans="1:31">
      <c r="A508" t="str">
        <f t="shared" si="149"/>
        <v>Monday</v>
      </c>
      <c r="B508" s="1">
        <f t="shared" si="152"/>
        <v>46258</v>
      </c>
      <c r="C508" s="45">
        <f>IF(LEFT(A508,1)="S","",VLOOKUP(B508,$AC$4:$AE$734,3)-'Quoting term rates'!$C$4)</f>
        <v>4.3299999999999998E-2</v>
      </c>
      <c r="D508">
        <f t="shared" si="147"/>
        <v>1.0624878971757594</v>
      </c>
      <c r="E508" s="45">
        <f t="shared" si="160"/>
        <v>4.4634212268399587E-2</v>
      </c>
      <c r="AC508" s="1">
        <f t="shared" si="155"/>
        <v>46258</v>
      </c>
      <c r="AD508">
        <f>IF(VLOOKUP(AC508,'FOMC exp '!$C$6:$C$22,1)=AC508,MATCH(AC508,'FOMC exp '!$C$6:$C$22,1),AD507)</f>
        <v>12</v>
      </c>
      <c r="AE508" s="18" cm="1">
        <f t="array" ref="AE508">INDEX('FOMC exp '!$C$6:$D$23,AD508,2)</f>
        <v>4.4999999999999998E-2</v>
      </c>
    </row>
    <row r="509" spans="1:31">
      <c r="A509" t="str">
        <f t="shared" si="149"/>
        <v>Tuesday</v>
      </c>
      <c r="B509" s="1">
        <f t="shared" si="152"/>
        <v>46259</v>
      </c>
      <c r="C509" s="45">
        <f>IF(LEFT(A509,1)="S","",VLOOKUP(B509,$AC$4:$AE$734,3)-'Quoting term rates'!$C$4)</f>
        <v>4.3299999999999998E-2</v>
      </c>
      <c r="D509">
        <f t="shared" ref="D509:D512" si="162">D508*(1+C508*1/360)</f>
        <v>1.0626156908589475</v>
      </c>
      <c r="E509" s="45">
        <f t="shared" si="160"/>
        <v>4.4636928137071465E-2</v>
      </c>
      <c r="AC509" s="1">
        <f t="shared" si="155"/>
        <v>46259</v>
      </c>
      <c r="AD509">
        <f>IF(VLOOKUP(AC509,'FOMC exp '!$C$6:$C$22,1)=AC509,MATCH(AC509,'FOMC exp '!$C$6:$C$22,1),AD508)</f>
        <v>12</v>
      </c>
      <c r="AE509" s="18" cm="1">
        <f t="array" ref="AE509">INDEX('FOMC exp '!$C$6:$D$23,AD509,2)</f>
        <v>4.4999999999999998E-2</v>
      </c>
    </row>
    <row r="510" spans="1:31">
      <c r="A510" t="str">
        <f t="shared" si="149"/>
        <v>Wednesday</v>
      </c>
      <c r="B510" s="1">
        <f t="shared" si="152"/>
        <v>46260</v>
      </c>
      <c r="C510" s="45">
        <f>IF(LEFT(A510,1)="S","",VLOOKUP(B510,$AC$4:$AE$734,3)-'Quoting term rates'!$C$4)</f>
        <v>4.3299999999999998E-2</v>
      </c>
      <c r="D510">
        <f t="shared" si="162"/>
        <v>1.0627434999128758</v>
      </c>
      <c r="E510" s="45">
        <f t="shared" si="160"/>
        <v>4.4639644206789078E-2</v>
      </c>
      <c r="AC510" s="1">
        <f t="shared" si="155"/>
        <v>46260</v>
      </c>
      <c r="AD510">
        <f>IF(VLOOKUP(AC510,'FOMC exp '!$C$6:$C$22,1)=AC510,MATCH(AC510,'FOMC exp '!$C$6:$C$22,1),AD509)</f>
        <v>12</v>
      </c>
      <c r="AE510" s="18" cm="1">
        <f t="array" ref="AE510">INDEX('FOMC exp '!$C$6:$D$23,AD510,2)</f>
        <v>4.4999999999999998E-2</v>
      </c>
    </row>
    <row r="511" spans="1:31">
      <c r="A511" t="str">
        <f t="shared" si="149"/>
        <v>Thursday</v>
      </c>
      <c r="B511" s="1">
        <f t="shared" si="152"/>
        <v>46261</v>
      </c>
      <c r="C511" s="45">
        <f>IF(LEFT(A511,1)="S","",VLOOKUP(B511,$AC$4:$AE$734,3)-'Quoting term rates'!$C$4)</f>
        <v>4.3299999999999998E-2</v>
      </c>
      <c r="D511">
        <f t="shared" si="162"/>
        <v>1.062871324339393</v>
      </c>
      <c r="E511" s="45">
        <f t="shared" si="160"/>
        <v>4.4642360477675516E-2</v>
      </c>
      <c r="AC511" s="1">
        <f t="shared" si="155"/>
        <v>46261</v>
      </c>
      <c r="AD511">
        <f>IF(VLOOKUP(AC511,'FOMC exp '!$C$6:$C$22,1)=AC511,MATCH(AC511,'FOMC exp '!$C$6:$C$22,1),AD510)</f>
        <v>12</v>
      </c>
      <c r="AE511" s="18" cm="1">
        <f t="array" ref="AE511">INDEX('FOMC exp '!$C$6:$D$23,AD511,2)</f>
        <v>4.4999999999999998E-2</v>
      </c>
    </row>
    <row r="512" spans="1:31">
      <c r="A512" t="str">
        <f t="shared" si="149"/>
        <v>Friday</v>
      </c>
      <c r="B512" s="1">
        <f t="shared" si="152"/>
        <v>46262</v>
      </c>
      <c r="C512" s="45">
        <f>IF(LEFT(A512,1)="S","",VLOOKUP(B512,$AC$4:$AE$734,3)-'Quoting term rates'!$C$4)</f>
        <v>4.3299999999999998E-2</v>
      </c>
      <c r="D512">
        <f t="shared" si="162"/>
        <v>1.0629991641403482</v>
      </c>
      <c r="E512" s="45">
        <f t="shared" si="160"/>
        <v>4.464507694985307E-2</v>
      </c>
      <c r="AC512" s="1">
        <f t="shared" si="155"/>
        <v>46262</v>
      </c>
      <c r="AD512">
        <f>IF(VLOOKUP(AC512,'FOMC exp '!$C$6:$C$22,1)=AC512,MATCH(AC512,'FOMC exp '!$C$6:$C$22,1),AD511)</f>
        <v>12</v>
      </c>
      <c r="AE512" s="18" cm="1">
        <f t="array" ref="AE512">INDEX('FOMC exp '!$C$6:$D$23,AD512,2)</f>
        <v>4.4999999999999998E-2</v>
      </c>
    </row>
    <row r="513" spans="1:31">
      <c r="A513" t="str">
        <f t="shared" si="149"/>
        <v>Saturday</v>
      </c>
      <c r="B513" s="1">
        <f t="shared" si="152"/>
        <v>46263</v>
      </c>
      <c r="C513" s="45" t="str">
        <f>IF(LEFT(A513,1)="S","",VLOOKUP(B513,$AC$4:$AE$734,3)-'Quoting term rates'!$C$4)</f>
        <v/>
      </c>
      <c r="E513" s="45" t="str">
        <f t="shared" si="160"/>
        <v/>
      </c>
      <c r="AC513" s="1">
        <f t="shared" si="155"/>
        <v>46263</v>
      </c>
      <c r="AD513">
        <f>IF(VLOOKUP(AC513,'FOMC exp '!$C$6:$C$22,1)=AC513,MATCH(AC513,'FOMC exp '!$C$6:$C$22,1),AD512)</f>
        <v>12</v>
      </c>
      <c r="AE513" s="18" cm="1">
        <f t="array" ref="AE513">INDEX('FOMC exp '!$C$6:$D$23,AD513,2)</f>
        <v>4.4999999999999998E-2</v>
      </c>
    </row>
    <row r="514" spans="1:31">
      <c r="A514" t="str">
        <f t="shared" si="149"/>
        <v>Sunday</v>
      </c>
      <c r="B514" s="1">
        <f t="shared" si="152"/>
        <v>46264</v>
      </c>
      <c r="C514" s="45" t="str">
        <f>IF(LEFT(A514,1)="S","",VLOOKUP(B514,$AC$4:$AE$734,3)-'Quoting term rates'!$C$4)</f>
        <v/>
      </c>
      <c r="E514" s="45" t="str">
        <f t="shared" si="160"/>
        <v/>
      </c>
      <c r="AC514" s="1">
        <f t="shared" si="155"/>
        <v>46264</v>
      </c>
      <c r="AD514">
        <f>IF(VLOOKUP(AC514,'FOMC exp '!$C$6:$C$22,1)=AC514,MATCH(AC514,'FOMC exp '!$C$6:$C$22,1),AD513)</f>
        <v>12</v>
      </c>
      <c r="AE514" s="18" cm="1">
        <f t="array" ref="AE514">INDEX('FOMC exp '!$C$6:$D$23,AD514,2)</f>
        <v>4.4999999999999998E-2</v>
      </c>
    </row>
    <row r="515" spans="1:31">
      <c r="A515" t="str">
        <f t="shared" si="149"/>
        <v>Monday</v>
      </c>
      <c r="B515" s="1">
        <f t="shared" si="152"/>
        <v>46265</v>
      </c>
      <c r="C515" s="45">
        <f>IF(LEFT(A515,1)="S","",VLOOKUP(B515,$AC$4:$AE$734,3)-'Quoting term rates'!$C$4)</f>
        <v>4.3299999999999998E-2</v>
      </c>
      <c r="D515">
        <f t="shared" ref="D515:D578" si="163">D512*(1+C512*3/360)</f>
        <v>1.0633827296720755</v>
      </c>
      <c r="E515" s="45">
        <f t="shared" si="160"/>
        <v>4.4653195072303663E-2</v>
      </c>
      <c r="AC515" s="1">
        <f t="shared" si="155"/>
        <v>46265</v>
      </c>
      <c r="AD515">
        <f>IF(VLOOKUP(AC515,'FOMC exp '!$C$6:$C$22,1)=AC515,MATCH(AC515,'FOMC exp '!$C$6:$C$22,1),AD514)</f>
        <v>12</v>
      </c>
      <c r="AE515" s="18" cm="1">
        <f t="array" ref="AE515">INDEX('FOMC exp '!$C$6:$D$23,AD515,2)</f>
        <v>4.4999999999999998E-2</v>
      </c>
    </row>
    <row r="516" spans="1:31">
      <c r="A516" t="str">
        <f t="shared" si="149"/>
        <v>Tuesday</v>
      </c>
      <c r="B516" s="1">
        <f t="shared" si="152"/>
        <v>46266</v>
      </c>
      <c r="C516" s="45">
        <f>IF(LEFT(A516,1)="S","",VLOOKUP(B516,$AC$4:$AE$734,3)-'Quoting term rates'!$C$4)</f>
        <v>4.3299999999999998E-2</v>
      </c>
      <c r="D516">
        <f t="shared" ref="D516:D519" si="164">D515*(1+C515*1/360)</f>
        <v>1.0635106309837277</v>
      </c>
      <c r="E516" s="45">
        <f t="shared" si="160"/>
        <v>4.4655912410433513E-2</v>
      </c>
      <c r="AC516" s="1">
        <f t="shared" si="155"/>
        <v>46266</v>
      </c>
      <c r="AD516">
        <f>IF(VLOOKUP(AC516,'FOMC exp '!$C$6:$C$22,1)=AC516,MATCH(AC516,'FOMC exp '!$C$6:$C$22,1),AD515)</f>
        <v>12</v>
      </c>
      <c r="AE516" s="18" cm="1">
        <f t="array" ref="AE516">INDEX('FOMC exp '!$C$6:$D$23,AD516,2)</f>
        <v>4.4999999999999998E-2</v>
      </c>
    </row>
    <row r="517" spans="1:31">
      <c r="A517" t="str">
        <f t="shared" ref="A517:A580" si="165">VLOOKUP(WEEKDAY(B517,2),$Z$2:$AA$8,2)</f>
        <v>Wednesday</v>
      </c>
      <c r="B517" s="1">
        <f t="shared" si="152"/>
        <v>46267</v>
      </c>
      <c r="C517" s="45">
        <f>IF(LEFT(A517,1)="S","",VLOOKUP(B517,$AC$4:$AE$734,3)-'Quoting term rates'!$C$4)</f>
        <v>4.3299999999999998E-2</v>
      </c>
      <c r="D517">
        <f t="shared" si="164"/>
        <v>1.0636385476790655</v>
      </c>
      <c r="E517" s="45">
        <f t="shared" si="160"/>
        <v>4.4658629950221421E-2</v>
      </c>
      <c r="AC517" s="1">
        <f t="shared" si="155"/>
        <v>46267</v>
      </c>
      <c r="AD517">
        <f>IF(VLOOKUP(AC517,'FOMC exp '!$C$6:$C$22,1)=AC517,MATCH(AC517,'FOMC exp '!$C$6:$C$22,1),AD516)</f>
        <v>12</v>
      </c>
      <c r="AE517" s="18" cm="1">
        <f t="array" ref="AE517">INDEX('FOMC exp '!$C$6:$D$23,AD517,2)</f>
        <v>4.4999999999999998E-2</v>
      </c>
    </row>
    <row r="518" spans="1:31">
      <c r="A518" t="str">
        <f t="shared" si="165"/>
        <v>Thursday</v>
      </c>
      <c r="B518" s="1">
        <f t="shared" ref="B518:B581" si="166">B517+1</f>
        <v>46268</v>
      </c>
      <c r="C518" s="45">
        <f>IF(LEFT(A518,1)="S","",VLOOKUP(B518,$AC$4:$AE$734,3)-'Quoting term rates'!$C$4)</f>
        <v>4.3299999999999998E-2</v>
      </c>
      <c r="D518">
        <f t="shared" si="164"/>
        <v>1.0637664797599391</v>
      </c>
      <c r="E518" s="45">
        <f t="shared" si="160"/>
        <v>4.4661347691786139E-2</v>
      </c>
      <c r="AC518" s="1">
        <f t="shared" si="155"/>
        <v>46268</v>
      </c>
      <c r="AD518">
        <f>IF(VLOOKUP(AC518,'FOMC exp '!$C$6:$C$22,1)=AC518,MATCH(AC518,'FOMC exp '!$C$6:$C$22,1),AD517)</f>
        <v>12</v>
      </c>
      <c r="AE518" s="18" cm="1">
        <f t="array" ref="AE518">INDEX('FOMC exp '!$C$6:$D$23,AD518,2)</f>
        <v>4.4999999999999998E-2</v>
      </c>
    </row>
    <row r="519" spans="1:31">
      <c r="A519" t="str">
        <f t="shared" si="165"/>
        <v>Friday</v>
      </c>
      <c r="B519" s="1">
        <f t="shared" si="166"/>
        <v>46269</v>
      </c>
      <c r="C519" s="45">
        <f>IF(LEFT(A519,1)="S","",VLOOKUP(B519,$AC$4:$AE$734,3)-'Quoting term rates'!$C$4)</f>
        <v>4.3299999999999998E-2</v>
      </c>
      <c r="D519">
        <f t="shared" si="164"/>
        <v>1.0638944272281992</v>
      </c>
      <c r="E519" s="45">
        <f t="shared" si="160"/>
        <v>4.4664065635246011E-2</v>
      </c>
      <c r="AC519" s="1">
        <f t="shared" si="155"/>
        <v>46269</v>
      </c>
      <c r="AD519">
        <f>IF(VLOOKUP(AC519,'FOMC exp '!$C$6:$C$22,1)=AC519,MATCH(AC519,'FOMC exp '!$C$6:$C$22,1),AD518)</f>
        <v>12</v>
      </c>
      <c r="AE519" s="18" cm="1">
        <f t="array" ref="AE519">INDEX('FOMC exp '!$C$6:$D$23,AD519,2)</f>
        <v>4.4999999999999998E-2</v>
      </c>
    </row>
    <row r="520" spans="1:31">
      <c r="A520" t="str">
        <f t="shared" si="165"/>
        <v>Saturday</v>
      </c>
      <c r="B520" s="1">
        <f t="shared" si="166"/>
        <v>46270</v>
      </c>
      <c r="C520" s="45" t="str">
        <f>IF(LEFT(A520,1)="S","",VLOOKUP(B520,$AC$4:$AE$734,3)-'Quoting term rates'!$C$4)</f>
        <v/>
      </c>
      <c r="E520" s="45" t="str">
        <f t="shared" si="160"/>
        <v/>
      </c>
      <c r="AC520" s="1">
        <f t="shared" si="155"/>
        <v>46270</v>
      </c>
      <c r="AD520">
        <f>IF(VLOOKUP(AC520,'FOMC exp '!$C$6:$C$22,1)=AC520,MATCH(AC520,'FOMC exp '!$C$6:$C$22,1),AD519)</f>
        <v>12</v>
      </c>
      <c r="AE520" s="18" cm="1">
        <f t="array" ref="AE520">INDEX('FOMC exp '!$C$6:$D$23,AD520,2)</f>
        <v>4.4999999999999998E-2</v>
      </c>
    </row>
    <row r="521" spans="1:31">
      <c r="A521" t="str">
        <f t="shared" si="165"/>
        <v>Sunday</v>
      </c>
      <c r="B521" s="1">
        <f t="shared" si="166"/>
        <v>46271</v>
      </c>
      <c r="C521" s="45" t="str">
        <f>IF(LEFT(A521,1)="S","",VLOOKUP(B521,$AC$4:$AE$734,3)-'Quoting term rates'!$C$4)</f>
        <v/>
      </c>
      <c r="E521" s="45" t="str">
        <f t="shared" si="160"/>
        <v/>
      </c>
      <c r="AC521" s="1">
        <f t="shared" si="155"/>
        <v>46271</v>
      </c>
      <c r="AD521">
        <f>IF(VLOOKUP(AC521,'FOMC exp '!$C$6:$C$22,1)=AC521,MATCH(AC521,'FOMC exp '!$C$6:$C$22,1),AD520)</f>
        <v>12</v>
      </c>
      <c r="AE521" s="18" cm="1">
        <f t="array" ref="AE521">INDEX('FOMC exp '!$C$6:$D$23,AD521,2)</f>
        <v>4.4999999999999998E-2</v>
      </c>
    </row>
    <row r="522" spans="1:31">
      <c r="A522" t="str">
        <f t="shared" si="165"/>
        <v>Monday</v>
      </c>
      <c r="B522" s="1">
        <f t="shared" si="166"/>
        <v>46272</v>
      </c>
      <c r="C522" s="45">
        <f>IF(LEFT(A522,1)="S","",VLOOKUP(B522,$AC$4:$AE$734,3)-'Quoting term rates'!$C$4)</f>
        <v>4.3299999999999998E-2</v>
      </c>
      <c r="D522">
        <f t="shared" si="163"/>
        <v>1.0642783158006908</v>
      </c>
      <c r="E522" s="45">
        <f t="shared" si="160"/>
        <v>4.4672188587352654E-2</v>
      </c>
      <c r="AC522" s="1">
        <f t="shared" si="155"/>
        <v>46272</v>
      </c>
      <c r="AD522">
        <f>IF(VLOOKUP(AC522,'FOMC exp '!$C$6:$C$22,1)=AC522,MATCH(AC522,'FOMC exp '!$C$6:$C$22,1),AD521)</f>
        <v>12</v>
      </c>
      <c r="AE522" s="18" cm="1">
        <f t="array" ref="AE522">INDEX('FOMC exp '!$C$6:$D$23,AD522,2)</f>
        <v>4.4999999999999998E-2</v>
      </c>
    </row>
    <row r="523" spans="1:31">
      <c r="A523" t="str">
        <f t="shared" si="165"/>
        <v>Tuesday</v>
      </c>
      <c r="B523" s="1">
        <f t="shared" si="166"/>
        <v>46273</v>
      </c>
      <c r="C523" s="45">
        <f>IF(LEFT(A523,1)="S","",VLOOKUP(B523,$AC$4:$AE$734,3)-'Quoting term rates'!$C$4)</f>
        <v>4.3299999999999998E-2</v>
      </c>
      <c r="D523">
        <f t="shared" ref="D523:D526" si="167">D522*(1+C522*1/360)</f>
        <v>1.0644063248314524</v>
      </c>
      <c r="E523" s="45">
        <f t="shared" si="160"/>
        <v>4.4674907397539217E-2</v>
      </c>
      <c r="AC523" s="1">
        <f t="shared" si="155"/>
        <v>46273</v>
      </c>
      <c r="AD523">
        <f>IF(VLOOKUP(AC523,'FOMC exp '!$C$6:$C$22,1)=AC523,MATCH(AC523,'FOMC exp '!$C$6:$C$22,1),AD522)</f>
        <v>12</v>
      </c>
      <c r="AE523" s="18" cm="1">
        <f t="array" ref="AE523">INDEX('FOMC exp '!$C$6:$D$23,AD523,2)</f>
        <v>4.4999999999999998E-2</v>
      </c>
    </row>
    <row r="524" spans="1:31">
      <c r="A524" t="str">
        <f t="shared" si="165"/>
        <v>Wednesday</v>
      </c>
      <c r="B524" s="1">
        <f t="shared" si="166"/>
        <v>46274</v>
      </c>
      <c r="C524" s="45">
        <f>IF(LEFT(A524,1)="S","",VLOOKUP(B524,$AC$4:$AE$734,3)-'Quoting term rates'!$C$4)</f>
        <v>4.3299999999999998E-2</v>
      </c>
      <c r="D524">
        <f t="shared" si="167"/>
        <v>1.0645343492588557</v>
      </c>
      <c r="E524" s="45">
        <f t="shared" si="160"/>
        <v>4.467762640997703E-2</v>
      </c>
      <c r="AC524" s="1">
        <f t="shared" si="155"/>
        <v>46274</v>
      </c>
      <c r="AD524">
        <f>IF(VLOOKUP(AC524,'FOMC exp '!$C$6:$C$22,1)=AC524,MATCH(AC524,'FOMC exp '!$C$6:$C$22,1),AD523)</f>
        <v>12</v>
      </c>
      <c r="AE524" s="18" cm="1">
        <f t="array" ref="AE524">INDEX('FOMC exp '!$C$6:$D$23,AD524,2)</f>
        <v>4.4999999999999998E-2</v>
      </c>
    </row>
    <row r="525" spans="1:31">
      <c r="A525" t="str">
        <f t="shared" si="165"/>
        <v>Thursday</v>
      </c>
      <c r="B525" s="1">
        <f t="shared" si="166"/>
        <v>46275</v>
      </c>
      <c r="C525" s="45">
        <f>IF(LEFT(A525,1)="S","",VLOOKUP(B525,$AC$4:$AE$734,3)-'Quoting term rates'!$C$4)</f>
        <v>4.3299999999999998E-2</v>
      </c>
      <c r="D525">
        <f t="shared" si="167"/>
        <v>1.0646623890847526</v>
      </c>
      <c r="E525" s="45">
        <f t="shared" si="160"/>
        <v>4.4680345624781091E-2</v>
      </c>
      <c r="AC525" s="1">
        <f t="shared" si="155"/>
        <v>46275</v>
      </c>
      <c r="AD525">
        <f>IF(VLOOKUP(AC525,'FOMC exp '!$C$6:$C$22,1)=AC525,MATCH(AC525,'FOMC exp '!$C$6:$C$22,1),AD524)</f>
        <v>12</v>
      </c>
      <c r="AE525" s="18" cm="1">
        <f t="array" ref="AE525">INDEX('FOMC exp '!$C$6:$D$23,AD525,2)</f>
        <v>4.4999999999999998E-2</v>
      </c>
    </row>
    <row r="526" spans="1:31">
      <c r="A526" t="str">
        <f t="shared" si="165"/>
        <v>Friday</v>
      </c>
      <c r="B526" s="1">
        <f t="shared" si="166"/>
        <v>46276</v>
      </c>
      <c r="C526" s="45">
        <f>IF(LEFT(A526,1)="S","",VLOOKUP(B526,$AC$4:$AE$734,3)-'Quoting term rates'!$C$4)</f>
        <v>4.3299999999999998E-2</v>
      </c>
      <c r="D526">
        <f t="shared" si="167"/>
        <v>1.0647904443109952</v>
      </c>
      <c r="E526" s="45">
        <f t="shared" si="160"/>
        <v>4.4683065042065678E-2</v>
      </c>
      <c r="AC526" s="1">
        <f t="shared" si="155"/>
        <v>46276</v>
      </c>
      <c r="AD526">
        <f>IF(VLOOKUP(AC526,'FOMC exp '!$C$6:$C$22,1)=AC526,MATCH(AC526,'FOMC exp '!$C$6:$C$22,1),AD525)</f>
        <v>12</v>
      </c>
      <c r="AE526" s="18" cm="1">
        <f t="array" ref="AE526">INDEX('FOMC exp '!$C$6:$D$23,AD526,2)</f>
        <v>4.4999999999999998E-2</v>
      </c>
    </row>
    <row r="527" spans="1:31">
      <c r="A527" t="str">
        <f t="shared" si="165"/>
        <v>Saturday</v>
      </c>
      <c r="B527" s="1">
        <f t="shared" si="166"/>
        <v>46277</v>
      </c>
      <c r="C527" s="45" t="str">
        <f>IF(LEFT(A527,1)="S","",VLOOKUP(B527,$AC$4:$AE$734,3)-'Quoting term rates'!$C$4)</f>
        <v/>
      </c>
      <c r="E527" s="45" t="str">
        <f t="shared" si="160"/>
        <v/>
      </c>
      <c r="AC527" s="1">
        <f t="shared" si="155"/>
        <v>46277</v>
      </c>
      <c r="AD527">
        <f>IF(VLOOKUP(AC527,'FOMC exp '!$C$6:$C$22,1)=AC527,MATCH(AC527,'FOMC exp '!$C$6:$C$22,1),AD526)</f>
        <v>12</v>
      </c>
      <c r="AE527" s="18" cm="1">
        <f t="array" ref="AE527">INDEX('FOMC exp '!$C$6:$D$23,AD527,2)</f>
        <v>4.4999999999999998E-2</v>
      </c>
    </row>
    <row r="528" spans="1:31">
      <c r="A528" t="str">
        <f t="shared" si="165"/>
        <v>Sunday</v>
      </c>
      <c r="B528" s="1">
        <f t="shared" si="166"/>
        <v>46278</v>
      </c>
      <c r="C528" s="45" t="str">
        <f>IF(LEFT(A528,1)="S","",VLOOKUP(B528,$AC$4:$AE$734,3)-'Quoting term rates'!$C$4)</f>
        <v/>
      </c>
      <c r="E528" s="45" t="str">
        <f t="shared" si="160"/>
        <v/>
      </c>
      <c r="AC528" s="1">
        <f t="shared" si="155"/>
        <v>46278</v>
      </c>
      <c r="AD528">
        <f>IF(VLOOKUP(AC528,'FOMC exp '!$C$6:$C$22,1)=AC528,MATCH(AC528,'FOMC exp '!$C$6:$C$22,1),AD527)</f>
        <v>12</v>
      </c>
      <c r="AE528" s="18" cm="1">
        <f t="array" ref="AE528">INDEX('FOMC exp '!$C$6:$D$23,AD528,2)</f>
        <v>4.4999999999999998E-2</v>
      </c>
    </row>
    <row r="529" spans="1:31">
      <c r="A529" t="str">
        <f t="shared" si="165"/>
        <v>Monday</v>
      </c>
      <c r="B529" s="1">
        <f t="shared" si="166"/>
        <v>46279</v>
      </c>
      <c r="C529" s="45">
        <f>IF(LEFT(A529,1)="S","",VLOOKUP(B529,$AC$4:$AE$734,3)-'Quoting term rates'!$C$4)</f>
        <v>4.3299999999999998E-2</v>
      </c>
      <c r="D529">
        <f t="shared" si="163"/>
        <v>1.0651746561963176</v>
      </c>
      <c r="E529" s="45">
        <f t="shared" si="160"/>
        <v>4.469119282033205E-2</v>
      </c>
      <c r="AC529" s="1">
        <f t="shared" si="155"/>
        <v>46279</v>
      </c>
      <c r="AD529">
        <f>IF(VLOOKUP(AC529,'FOMC exp '!$C$6:$C$22,1)=AC529,MATCH(AC529,'FOMC exp '!$C$6:$C$22,1),AD528)</f>
        <v>12</v>
      </c>
      <c r="AE529" s="18" cm="1">
        <f t="array" ref="AE529">INDEX('FOMC exp '!$C$6:$D$23,AD529,2)</f>
        <v>4.4999999999999998E-2</v>
      </c>
    </row>
    <row r="530" spans="1:31">
      <c r="A530" t="str">
        <f t="shared" si="165"/>
        <v>Tuesday</v>
      </c>
      <c r="B530" s="1">
        <f t="shared" si="166"/>
        <v>46280</v>
      </c>
      <c r="C530" s="45">
        <f>IF(LEFT(A530,1)="S","",VLOOKUP(B530,$AC$4:$AE$734,3)-'Quoting term rates'!$C$4)</f>
        <v>4.3299999999999998E-2</v>
      </c>
      <c r="D530">
        <f t="shared" ref="D530:D533" si="168">D529*(1+C529*1/360)</f>
        <v>1.06530277303691</v>
      </c>
      <c r="E530" s="45">
        <f t="shared" si="160"/>
        <v>4.4693913105109513E-2</v>
      </c>
      <c r="AC530" s="1">
        <f t="shared" si="155"/>
        <v>46280</v>
      </c>
      <c r="AD530">
        <f>IF(VLOOKUP(AC530,'FOMC exp '!$C$6:$C$22,1)=AC530,MATCH(AC530,'FOMC exp '!$C$6:$C$22,1),AD529)</f>
        <v>12</v>
      </c>
      <c r="AE530" s="18" cm="1">
        <f t="array" ref="AE530">INDEX('FOMC exp '!$C$6:$D$23,AD530,2)</f>
        <v>4.4999999999999998E-2</v>
      </c>
    </row>
    <row r="531" spans="1:31">
      <c r="A531" t="str">
        <f t="shared" si="165"/>
        <v>Wednesday</v>
      </c>
      <c r="B531" s="1">
        <f t="shared" si="166"/>
        <v>46281</v>
      </c>
      <c r="C531" s="45">
        <f>IF(LEFT(A531,1)="S","",VLOOKUP(B531,$AC$4:$AE$734,3)-'Quoting term rates'!$C$4)</f>
        <v>4.3299999999999998E-2</v>
      </c>
      <c r="D531">
        <f t="shared" si="168"/>
        <v>1.0654309052871114</v>
      </c>
      <c r="E531" s="45">
        <f t="shared" si="160"/>
        <v>4.4696633592713648E-2</v>
      </c>
      <c r="AC531" s="1">
        <f t="shared" si="155"/>
        <v>46281</v>
      </c>
      <c r="AD531">
        <f>IF(VLOOKUP(AC531,'FOMC exp '!$C$6:$C$22,1)=AC531,MATCH(AC531,'FOMC exp '!$C$6:$C$22,1),AD530)</f>
        <v>13</v>
      </c>
      <c r="AE531" s="18" cm="1">
        <f t="array" ref="AE531">INDEX('FOMC exp '!$C$6:$D$23,AD531,2)</f>
        <v>4.4999999999999998E-2</v>
      </c>
    </row>
    <row r="532" spans="1:31">
      <c r="A532" t="str">
        <f t="shared" si="165"/>
        <v>Thursday</v>
      </c>
      <c r="B532" s="1">
        <f t="shared" si="166"/>
        <v>46282</v>
      </c>
      <c r="C532" s="45">
        <f>IF(LEFT(A532,1)="S","",VLOOKUP(B532,$AC$4:$AE$734,3)-'Quoting term rates'!$C$4)</f>
        <v>4.3299999999999998E-2</v>
      </c>
      <c r="D532">
        <f t="shared" si="168"/>
        <v>1.0655590529487751</v>
      </c>
      <c r="E532" s="45">
        <f t="shared" si="160"/>
        <v>4.4699354283255728E-2</v>
      </c>
      <c r="AC532" s="1">
        <f t="shared" si="155"/>
        <v>46282</v>
      </c>
      <c r="AD532">
        <f>IF(VLOOKUP(AC532,'FOMC exp '!$C$6:$C$22,1)=AC532,MATCH(AC532,'FOMC exp '!$C$6:$C$22,1),AD531)</f>
        <v>13</v>
      </c>
      <c r="AE532" s="18" cm="1">
        <f t="array" ref="AE532">INDEX('FOMC exp '!$C$6:$D$23,AD532,2)</f>
        <v>4.4999999999999998E-2</v>
      </c>
    </row>
    <row r="533" spans="1:31">
      <c r="A533" t="str">
        <f t="shared" si="165"/>
        <v>Friday</v>
      </c>
      <c r="B533" s="1">
        <f t="shared" si="166"/>
        <v>46283</v>
      </c>
      <c r="C533" s="45">
        <f>IF(LEFT(A533,1)="S","",VLOOKUP(B533,$AC$4:$AE$734,3)-'Quoting term rates'!$C$4)</f>
        <v>4.3299999999999998E-2</v>
      </c>
      <c r="D533">
        <f t="shared" si="168"/>
        <v>1.0656872160237547</v>
      </c>
      <c r="E533" s="45">
        <f t="shared" si="160"/>
        <v>4.4702075176846309E-2</v>
      </c>
      <c r="AC533" s="1">
        <f t="shared" si="155"/>
        <v>46283</v>
      </c>
      <c r="AD533">
        <f>IF(VLOOKUP(AC533,'FOMC exp '!$C$6:$C$22,1)=AC533,MATCH(AC533,'FOMC exp '!$C$6:$C$22,1),AD532)</f>
        <v>13</v>
      </c>
      <c r="AE533" s="18" cm="1">
        <f t="array" ref="AE533">INDEX('FOMC exp '!$C$6:$D$23,AD533,2)</f>
        <v>4.4999999999999998E-2</v>
      </c>
    </row>
    <row r="534" spans="1:31">
      <c r="A534" t="str">
        <f t="shared" si="165"/>
        <v>Saturday</v>
      </c>
      <c r="B534" s="1">
        <f t="shared" si="166"/>
        <v>46284</v>
      </c>
      <c r="C534" s="45" t="str">
        <f>IF(LEFT(A534,1)="S","",VLOOKUP(B534,$AC$4:$AE$734,3)-'Quoting term rates'!$C$4)</f>
        <v/>
      </c>
      <c r="E534" s="45" t="str">
        <f t="shared" si="160"/>
        <v/>
      </c>
      <c r="AC534" s="1">
        <f t="shared" si="155"/>
        <v>46284</v>
      </c>
      <c r="AD534">
        <f>IF(VLOOKUP(AC534,'FOMC exp '!$C$6:$C$22,1)=AC534,MATCH(AC534,'FOMC exp '!$C$6:$C$22,1),AD533)</f>
        <v>13</v>
      </c>
      <c r="AE534" s="18" cm="1">
        <f t="array" ref="AE534">INDEX('FOMC exp '!$C$6:$D$23,AD534,2)</f>
        <v>4.4999999999999998E-2</v>
      </c>
    </row>
    <row r="535" spans="1:31">
      <c r="A535" t="str">
        <f t="shared" si="165"/>
        <v>Sunday</v>
      </c>
      <c r="B535" s="1">
        <f t="shared" si="166"/>
        <v>46285</v>
      </c>
      <c r="C535" s="45" t="str">
        <f>IF(LEFT(A535,1)="S","",VLOOKUP(B535,$AC$4:$AE$734,3)-'Quoting term rates'!$C$4)</f>
        <v/>
      </c>
      <c r="E535" s="45" t="str">
        <f t="shared" si="160"/>
        <v/>
      </c>
      <c r="AC535" s="1">
        <f t="shared" si="155"/>
        <v>46285</v>
      </c>
      <c r="AD535">
        <f>IF(VLOOKUP(AC535,'FOMC exp '!$C$6:$C$22,1)=AC535,MATCH(AC535,'FOMC exp '!$C$6:$C$22,1),AD534)</f>
        <v>13</v>
      </c>
      <c r="AE535" s="18" cm="1">
        <f t="array" ref="AE535">INDEX('FOMC exp '!$C$6:$D$23,AD535,2)</f>
        <v>4.4999999999999998E-2</v>
      </c>
    </row>
    <row r="536" spans="1:31">
      <c r="A536" t="str">
        <f t="shared" si="165"/>
        <v>Monday</v>
      </c>
      <c r="B536" s="1">
        <f t="shared" si="166"/>
        <v>46286</v>
      </c>
      <c r="C536" s="45">
        <f>IF(LEFT(A536,1)="S","",VLOOKUP(B536,$AC$4:$AE$734,3)-'Quoting term rates'!$C$4)</f>
        <v>4.3299999999999998E-2</v>
      </c>
      <c r="D536">
        <f t="shared" si="163"/>
        <v>1.0660717514942033</v>
      </c>
      <c r="E536" s="45">
        <f t="shared" si="160"/>
        <v>4.4710207778032307E-2</v>
      </c>
      <c r="AC536" s="1">
        <f t="shared" ref="AC536:AC599" si="169">B536</f>
        <v>46286</v>
      </c>
      <c r="AD536">
        <f>IF(VLOOKUP(AC536,'FOMC exp '!$C$6:$C$22,1)=AC536,MATCH(AC536,'FOMC exp '!$C$6:$C$22,1),AD535)</f>
        <v>13</v>
      </c>
      <c r="AE536" s="18" cm="1">
        <f t="array" ref="AE536">INDEX('FOMC exp '!$C$6:$D$23,AD536,2)</f>
        <v>4.4999999999999998E-2</v>
      </c>
    </row>
    <row r="537" spans="1:31">
      <c r="A537" t="str">
        <f t="shared" si="165"/>
        <v>Tuesday</v>
      </c>
      <c r="B537" s="1">
        <f t="shared" si="166"/>
        <v>46287</v>
      </c>
      <c r="C537" s="45">
        <f>IF(LEFT(A537,1)="S","",VLOOKUP(B537,$AC$4:$AE$734,3)-'Quoting term rates'!$C$4)</f>
        <v>4.3299999999999998E-2</v>
      </c>
      <c r="D537">
        <f t="shared" ref="D537:D540" si="170">D536*(1+C536*1/360)</f>
        <v>1.0661999762354246</v>
      </c>
      <c r="E537" s="45">
        <f t="shared" si="160"/>
        <v>4.471292953987404E-2</v>
      </c>
      <c r="AC537" s="1">
        <f t="shared" si="169"/>
        <v>46287</v>
      </c>
      <c r="AD537">
        <f>IF(VLOOKUP(AC537,'FOMC exp '!$C$6:$C$22,1)=AC537,MATCH(AC537,'FOMC exp '!$C$6:$C$22,1),AD536)</f>
        <v>13</v>
      </c>
      <c r="AE537" s="18" cm="1">
        <f t="array" ref="AE537">INDEX('FOMC exp '!$C$6:$D$23,AD537,2)</f>
        <v>4.4999999999999998E-2</v>
      </c>
    </row>
    <row r="538" spans="1:31">
      <c r="A538" t="str">
        <f t="shared" si="165"/>
        <v>Wednesday</v>
      </c>
      <c r="B538" s="1">
        <f t="shared" si="166"/>
        <v>46288</v>
      </c>
      <c r="C538" s="45">
        <f>IF(LEFT(A538,1)="S","",VLOOKUP(B538,$AC$4:$AE$734,3)-'Quoting term rates'!$C$4)</f>
        <v>4.3299999999999998E-2</v>
      </c>
      <c r="D538">
        <f t="shared" si="170"/>
        <v>1.0663282163992329</v>
      </c>
      <c r="E538" s="45">
        <f t="shared" si="160"/>
        <v>4.4715651505100845E-2</v>
      </c>
      <c r="AC538" s="1">
        <f t="shared" si="169"/>
        <v>46288</v>
      </c>
      <c r="AD538">
        <f>IF(VLOOKUP(AC538,'FOMC exp '!$C$6:$C$22,1)=AC538,MATCH(AC538,'FOMC exp '!$C$6:$C$22,1),AD537)</f>
        <v>13</v>
      </c>
      <c r="AE538" s="18" cm="1">
        <f t="array" ref="AE538">INDEX('FOMC exp '!$C$6:$D$23,AD538,2)</f>
        <v>4.4999999999999998E-2</v>
      </c>
    </row>
    <row r="539" spans="1:31">
      <c r="A539" t="str">
        <f t="shared" si="165"/>
        <v>Thursday</v>
      </c>
      <c r="B539" s="1">
        <f t="shared" si="166"/>
        <v>46289</v>
      </c>
      <c r="C539" s="45">
        <f>IF(LEFT(A539,1)="S","",VLOOKUP(B539,$AC$4:$AE$734,3)-'Quoting term rates'!$C$4)</f>
        <v>4.3299999999999998E-2</v>
      </c>
      <c r="D539">
        <f t="shared" si="170"/>
        <v>1.0664564719874832</v>
      </c>
      <c r="E539" s="45">
        <f t="shared" si="160"/>
        <v>4.471837367382045E-2</v>
      </c>
      <c r="AC539" s="1">
        <f t="shared" si="169"/>
        <v>46289</v>
      </c>
      <c r="AD539">
        <f>IF(VLOOKUP(AC539,'FOMC exp '!$C$6:$C$22,1)=AC539,MATCH(AC539,'FOMC exp '!$C$6:$C$22,1),AD538)</f>
        <v>13</v>
      </c>
      <c r="AE539" s="18" cm="1">
        <f t="array" ref="AE539">INDEX('FOMC exp '!$C$6:$D$23,AD539,2)</f>
        <v>4.4999999999999998E-2</v>
      </c>
    </row>
    <row r="540" spans="1:31">
      <c r="A540" t="str">
        <f t="shared" si="165"/>
        <v>Friday</v>
      </c>
      <c r="B540" s="1">
        <f t="shared" si="166"/>
        <v>46290</v>
      </c>
      <c r="C540" s="45">
        <f>IF(LEFT(A540,1)="S","",VLOOKUP(B540,$AC$4:$AE$734,3)-'Quoting term rates'!$C$4)</f>
        <v>4.3299999999999998E-2</v>
      </c>
      <c r="D540">
        <f t="shared" si="170"/>
        <v>1.0665847430020305</v>
      </c>
      <c r="E540" s="45">
        <f t="shared" si="160"/>
        <v>4.4721096046139913E-2</v>
      </c>
      <c r="AC540" s="1">
        <f t="shared" si="169"/>
        <v>46290</v>
      </c>
      <c r="AD540">
        <f>IF(VLOOKUP(AC540,'FOMC exp '!$C$6:$C$22,1)=AC540,MATCH(AC540,'FOMC exp '!$C$6:$C$22,1),AD539)</f>
        <v>13</v>
      </c>
      <c r="AE540" s="18" cm="1">
        <f t="array" ref="AE540">INDEX('FOMC exp '!$C$6:$D$23,AD540,2)</f>
        <v>4.4999999999999998E-2</v>
      </c>
    </row>
    <row r="541" spans="1:31">
      <c r="A541" t="str">
        <f t="shared" si="165"/>
        <v>Saturday</v>
      </c>
      <c r="B541" s="1">
        <f t="shared" si="166"/>
        <v>46291</v>
      </c>
      <c r="C541" s="45" t="str">
        <f>IF(LEFT(A541,1)="S","",VLOOKUP(B541,$AC$4:$AE$734,3)-'Quoting term rates'!$C$4)</f>
        <v/>
      </c>
      <c r="E541" s="45" t="str">
        <f t="shared" si="160"/>
        <v/>
      </c>
      <c r="AC541" s="1">
        <f t="shared" si="169"/>
        <v>46291</v>
      </c>
      <c r="AD541">
        <f>IF(VLOOKUP(AC541,'FOMC exp '!$C$6:$C$22,1)=AC541,MATCH(AC541,'FOMC exp '!$C$6:$C$22,1),AD540)</f>
        <v>13</v>
      </c>
      <c r="AE541" s="18" cm="1">
        <f t="array" ref="AE541">INDEX('FOMC exp '!$C$6:$D$23,AD541,2)</f>
        <v>4.4999999999999998E-2</v>
      </c>
    </row>
    <row r="542" spans="1:31">
      <c r="A542" t="str">
        <f t="shared" si="165"/>
        <v>Sunday</v>
      </c>
      <c r="B542" s="1">
        <f t="shared" si="166"/>
        <v>46292</v>
      </c>
      <c r="C542" s="45" t="str">
        <f>IF(LEFT(A542,1)="S","",VLOOKUP(B542,$AC$4:$AE$734,3)-'Quoting term rates'!$C$4)</f>
        <v/>
      </c>
      <c r="E542" s="45" t="str">
        <f t="shared" si="160"/>
        <v/>
      </c>
      <c r="AC542" s="1">
        <f t="shared" si="169"/>
        <v>46292</v>
      </c>
      <c r="AD542">
        <f>IF(VLOOKUP(AC542,'FOMC exp '!$C$6:$C$22,1)=AC542,MATCH(AC542,'FOMC exp '!$C$6:$C$22,1),AD541)</f>
        <v>13</v>
      </c>
      <c r="AE542" s="18" cm="1">
        <f t="array" ref="AE542">INDEX('FOMC exp '!$C$6:$D$23,AD542,2)</f>
        <v>4.4999999999999998E-2</v>
      </c>
    </row>
    <row r="543" spans="1:31">
      <c r="A543" t="str">
        <f t="shared" si="165"/>
        <v>Monday</v>
      </c>
      <c r="B543" s="1">
        <f t="shared" si="166"/>
        <v>46293</v>
      </c>
      <c r="C543" s="45">
        <f>IF(LEFT(A543,1)="S","",VLOOKUP(B543,$AC$4:$AE$734,3)-'Quoting term rates'!$C$4)</f>
        <v>4.3299999999999998E-2</v>
      </c>
      <c r="D543">
        <f t="shared" si="163"/>
        <v>1.0669696023301305</v>
      </c>
      <c r="E543" s="45">
        <f t="shared" si="160"/>
        <v>4.4729233467248566E-2</v>
      </c>
      <c r="AC543" s="1">
        <f t="shared" si="169"/>
        <v>46293</v>
      </c>
      <c r="AD543">
        <f>IF(VLOOKUP(AC543,'FOMC exp '!$C$6:$C$22,1)=AC543,MATCH(AC543,'FOMC exp '!$C$6:$C$22,1),AD542)</f>
        <v>13</v>
      </c>
      <c r="AE543" s="18" cm="1">
        <f t="array" ref="AE543">INDEX('FOMC exp '!$C$6:$D$23,AD543,2)</f>
        <v>4.4999999999999998E-2</v>
      </c>
    </row>
    <row r="544" spans="1:31">
      <c r="A544" t="str">
        <f t="shared" si="165"/>
        <v>Tuesday</v>
      </c>
      <c r="B544" s="1">
        <f t="shared" si="166"/>
        <v>46294</v>
      </c>
      <c r="C544" s="45">
        <f>IF(LEFT(A544,1)="S","",VLOOKUP(B544,$AC$4:$AE$734,3)-'Quoting term rates'!$C$4)</f>
        <v>4.3299999999999998E-2</v>
      </c>
      <c r="D544">
        <f t="shared" ref="D544:D547" si="171">D543*(1+C543*1/360)</f>
        <v>1.0670979350628551</v>
      </c>
      <c r="E544" s="45">
        <f t="shared" si="160"/>
        <v>4.4731956708570074E-2</v>
      </c>
      <c r="AC544" s="1">
        <f t="shared" si="169"/>
        <v>46294</v>
      </c>
      <c r="AD544">
        <f>IF(VLOOKUP(AC544,'FOMC exp '!$C$6:$C$22,1)=AC544,MATCH(AC544,'FOMC exp '!$C$6:$C$22,1),AD543)</f>
        <v>13</v>
      </c>
      <c r="AE544" s="18" cm="1">
        <f t="array" ref="AE544">INDEX('FOMC exp '!$C$6:$D$23,AD544,2)</f>
        <v>4.4999999999999998E-2</v>
      </c>
    </row>
    <row r="545" spans="1:31">
      <c r="A545" t="str">
        <f t="shared" si="165"/>
        <v>Wednesday</v>
      </c>
      <c r="B545" s="1">
        <f t="shared" si="166"/>
        <v>46295</v>
      </c>
      <c r="C545" s="45">
        <f>IF(LEFT(A545,1)="S","",VLOOKUP(B545,$AC$4:$AE$734,3)-'Quoting term rates'!$C$4)</f>
        <v>4.3299999999999998E-2</v>
      </c>
      <c r="D545">
        <f t="shared" si="171"/>
        <v>1.0672262832311556</v>
      </c>
      <c r="E545" s="45">
        <f t="shared" si="160"/>
        <v>4.4734680153818915E-2</v>
      </c>
      <c r="AC545" s="1">
        <f t="shared" si="169"/>
        <v>46295</v>
      </c>
      <c r="AD545">
        <f>IF(VLOOKUP(AC545,'FOMC exp '!$C$6:$C$22,1)=AC545,MATCH(AC545,'FOMC exp '!$C$6:$C$22,1),AD544)</f>
        <v>13</v>
      </c>
      <c r="AE545" s="18" cm="1">
        <f t="array" ref="AE545">INDEX('FOMC exp '!$C$6:$D$23,AD545,2)</f>
        <v>4.4999999999999998E-2</v>
      </c>
    </row>
    <row r="546" spans="1:31">
      <c r="A546" t="str">
        <f t="shared" si="165"/>
        <v>Thursday</v>
      </c>
      <c r="B546" s="1">
        <f t="shared" si="166"/>
        <v>46296</v>
      </c>
      <c r="C546" s="45">
        <f>IF(LEFT(A546,1)="S","",VLOOKUP(B546,$AC$4:$AE$734,3)-'Quoting term rates'!$C$4)</f>
        <v>4.3299999999999998E-2</v>
      </c>
      <c r="D546">
        <f t="shared" si="171"/>
        <v>1.0673546468368886</v>
      </c>
      <c r="E546" s="45">
        <f t="shared" si="160"/>
        <v>4.4737403803099464E-2</v>
      </c>
      <c r="AC546" s="1">
        <f t="shared" si="169"/>
        <v>46296</v>
      </c>
      <c r="AD546">
        <f>IF(VLOOKUP(AC546,'FOMC exp '!$C$6:$C$22,1)=AC546,MATCH(AC546,'FOMC exp '!$C$6:$C$22,1),AD545)</f>
        <v>13</v>
      </c>
      <c r="AE546" s="18" cm="1">
        <f t="array" ref="AE546">INDEX('FOMC exp '!$C$6:$D$23,AD546,2)</f>
        <v>4.4999999999999998E-2</v>
      </c>
    </row>
    <row r="547" spans="1:31">
      <c r="A547" t="str">
        <f t="shared" si="165"/>
        <v>Friday</v>
      </c>
      <c r="B547" s="1">
        <f t="shared" si="166"/>
        <v>46297</v>
      </c>
      <c r="C547" s="45">
        <f>IF(LEFT(A547,1)="S","",VLOOKUP(B547,$AC$4:$AE$734,3)-'Quoting term rates'!$C$4)</f>
        <v>4.3299999999999998E-2</v>
      </c>
      <c r="D547">
        <f t="shared" si="171"/>
        <v>1.067483025881911</v>
      </c>
      <c r="E547" s="45">
        <f t="shared" si="160"/>
        <v>4.4740127656515589E-2</v>
      </c>
      <c r="AC547" s="1">
        <f t="shared" si="169"/>
        <v>46297</v>
      </c>
      <c r="AD547">
        <f>IF(VLOOKUP(AC547,'FOMC exp '!$C$6:$C$22,1)=AC547,MATCH(AC547,'FOMC exp '!$C$6:$C$22,1),AD546)</f>
        <v>13</v>
      </c>
      <c r="AE547" s="18" cm="1">
        <f t="array" ref="AE547">INDEX('FOMC exp '!$C$6:$D$23,AD547,2)</f>
        <v>4.4999999999999998E-2</v>
      </c>
    </row>
    <row r="548" spans="1:31">
      <c r="A548" t="str">
        <f t="shared" si="165"/>
        <v>Saturday</v>
      </c>
      <c r="B548" s="1">
        <f t="shared" si="166"/>
        <v>46298</v>
      </c>
      <c r="C548" s="45" t="str">
        <f>IF(LEFT(A548,1)="S","",VLOOKUP(B548,$AC$4:$AE$734,3)-'Quoting term rates'!$C$4)</f>
        <v/>
      </c>
      <c r="E548" s="45" t="str">
        <f t="shared" si="160"/>
        <v/>
      </c>
      <c r="AC548" s="1">
        <f t="shared" si="169"/>
        <v>46298</v>
      </c>
      <c r="AD548">
        <f>IF(VLOOKUP(AC548,'FOMC exp '!$C$6:$C$22,1)=AC548,MATCH(AC548,'FOMC exp '!$C$6:$C$22,1),AD547)</f>
        <v>13</v>
      </c>
      <c r="AE548" s="18" cm="1">
        <f t="array" ref="AE548">INDEX('FOMC exp '!$C$6:$D$23,AD548,2)</f>
        <v>4.4999999999999998E-2</v>
      </c>
    </row>
    <row r="549" spans="1:31">
      <c r="A549" t="str">
        <f t="shared" si="165"/>
        <v>Sunday</v>
      </c>
      <c r="B549" s="1">
        <f t="shared" si="166"/>
        <v>46299</v>
      </c>
      <c r="C549" s="45" t="str">
        <f>IF(LEFT(A549,1)="S","",VLOOKUP(B549,$AC$4:$AE$734,3)-'Quoting term rates'!$C$4)</f>
        <v/>
      </c>
      <c r="E549" s="45" t="str">
        <f t="shared" si="160"/>
        <v/>
      </c>
      <c r="AC549" s="1">
        <f t="shared" si="169"/>
        <v>46299</v>
      </c>
      <c r="AD549">
        <f>IF(VLOOKUP(AC549,'FOMC exp '!$C$6:$C$22,1)=AC549,MATCH(AC549,'FOMC exp '!$C$6:$C$22,1),AD548)</f>
        <v>13</v>
      </c>
      <c r="AE549" s="18" cm="1">
        <f t="array" ref="AE549">INDEX('FOMC exp '!$C$6:$D$23,AD549,2)</f>
        <v>4.4999999999999998E-2</v>
      </c>
    </row>
    <row r="550" spans="1:31">
      <c r="A550" t="str">
        <f t="shared" si="165"/>
        <v>Monday</v>
      </c>
      <c r="B550" s="1">
        <f t="shared" si="166"/>
        <v>46300</v>
      </c>
      <c r="C550" s="45">
        <f>IF(LEFT(A550,1)="S","",VLOOKUP(B550,$AC$4:$AE$734,3)-'Quoting term rates'!$C$4)</f>
        <v>4.3299999999999998E-2</v>
      </c>
      <c r="D550">
        <f t="shared" si="163"/>
        <v>1.0678682093404168</v>
      </c>
      <c r="E550" s="45">
        <f t="shared" si="160"/>
        <v>4.474826989478032E-2</v>
      </c>
      <c r="AC550" s="1">
        <f t="shared" si="169"/>
        <v>46300</v>
      </c>
      <c r="AD550">
        <f>IF(VLOOKUP(AC550,'FOMC exp '!$C$6:$C$22,1)=AC550,MATCH(AC550,'FOMC exp '!$C$6:$C$22,1),AD549)</f>
        <v>13</v>
      </c>
      <c r="AE550" s="18" cm="1">
        <f t="array" ref="AE550">INDEX('FOMC exp '!$C$6:$D$23,AD550,2)</f>
        <v>4.4999999999999998E-2</v>
      </c>
    </row>
    <row r="551" spans="1:31">
      <c r="A551" t="str">
        <f t="shared" si="165"/>
        <v>Tuesday</v>
      </c>
      <c r="B551" s="1">
        <f t="shared" si="166"/>
        <v>46301</v>
      </c>
      <c r="C551" s="45">
        <f>IF(LEFT(A551,1)="S","",VLOOKUP(B551,$AC$4:$AE$734,3)-'Quoting term rates'!$C$4)</f>
        <v>4.3299999999999998E-2</v>
      </c>
      <c r="D551">
        <f t="shared" ref="D551:D554" si="172">D550*(1+C550*1/360)</f>
        <v>1.0679966501555958</v>
      </c>
      <c r="E551" s="45">
        <f t="shared" si="160"/>
        <v>4.4750994617942359E-2</v>
      </c>
      <c r="AC551" s="1">
        <f t="shared" si="169"/>
        <v>46301</v>
      </c>
      <c r="AD551">
        <f>IF(VLOOKUP(AC551,'FOMC exp '!$C$6:$C$22,1)=AC551,MATCH(AC551,'FOMC exp '!$C$6:$C$22,1),AD550)</f>
        <v>13</v>
      </c>
      <c r="AE551" s="18" cm="1">
        <f t="array" ref="AE551">INDEX('FOMC exp '!$C$6:$D$23,AD551,2)</f>
        <v>4.4999999999999998E-2</v>
      </c>
    </row>
    <row r="552" spans="1:31">
      <c r="A552" t="str">
        <f t="shared" si="165"/>
        <v>Wednesday</v>
      </c>
      <c r="B552" s="1">
        <f t="shared" si="166"/>
        <v>46302</v>
      </c>
      <c r="C552" s="45">
        <f>IF(LEFT(A552,1)="S","",VLOOKUP(B552,$AC$4:$AE$734,3)-'Quoting term rates'!$C$4)</f>
        <v>4.3299999999999998E-2</v>
      </c>
      <c r="D552">
        <f t="shared" si="172"/>
        <v>1.0681251064193507</v>
      </c>
      <c r="E552" s="45">
        <f t="shared" si="160"/>
        <v>4.4753719545558832E-2</v>
      </c>
      <c r="AC552" s="1">
        <f t="shared" si="169"/>
        <v>46302</v>
      </c>
      <c r="AD552">
        <f>IF(VLOOKUP(AC552,'FOMC exp '!$C$6:$C$22,1)=AC552,MATCH(AC552,'FOMC exp '!$C$6:$C$22,1),AD551)</f>
        <v>13</v>
      </c>
      <c r="AE552" s="18" cm="1">
        <f t="array" ref="AE552">INDEX('FOMC exp '!$C$6:$D$23,AD552,2)</f>
        <v>4.4999999999999998E-2</v>
      </c>
    </row>
    <row r="553" spans="1:31">
      <c r="A553" t="str">
        <f t="shared" si="165"/>
        <v>Thursday</v>
      </c>
      <c r="B553" s="1">
        <f t="shared" si="166"/>
        <v>46303</v>
      </c>
      <c r="C553" s="45">
        <f>IF(LEFT(A553,1)="S","",VLOOKUP(B553,$AC$4:$AE$734,3)-'Quoting term rates'!$C$4)</f>
        <v>4.3299999999999998E-2</v>
      </c>
      <c r="D553">
        <f t="shared" si="172"/>
        <v>1.0682535781335394</v>
      </c>
      <c r="E553" s="45">
        <f t="shared" si="160"/>
        <v>4.4756444677730746E-2</v>
      </c>
      <c r="AC553" s="1">
        <f t="shared" si="169"/>
        <v>46303</v>
      </c>
      <c r="AD553">
        <f>IF(VLOOKUP(AC553,'FOMC exp '!$C$6:$C$22,1)=AC553,MATCH(AC553,'FOMC exp '!$C$6:$C$22,1),AD552)</f>
        <v>13</v>
      </c>
      <c r="AE553" s="18" cm="1">
        <f t="array" ref="AE553">INDEX('FOMC exp '!$C$6:$D$23,AD553,2)</f>
        <v>4.4999999999999998E-2</v>
      </c>
    </row>
    <row r="554" spans="1:31">
      <c r="A554" t="str">
        <f t="shared" si="165"/>
        <v>Friday</v>
      </c>
      <c r="B554" s="1">
        <f t="shared" si="166"/>
        <v>46304</v>
      </c>
      <c r="C554" s="45">
        <f>IF(LEFT(A554,1)="S","",VLOOKUP(B554,$AC$4:$AE$734,3)-'Quoting term rates'!$C$4)</f>
        <v>4.3299999999999998E-2</v>
      </c>
      <c r="D554">
        <f t="shared" si="172"/>
        <v>1.0683820653000204</v>
      </c>
      <c r="E554" s="45">
        <f t="shared" si="160"/>
        <v>4.4759170014558834E-2</v>
      </c>
      <c r="AC554" s="1">
        <f t="shared" si="169"/>
        <v>46304</v>
      </c>
      <c r="AD554">
        <f>IF(VLOOKUP(AC554,'FOMC exp '!$C$6:$C$22,1)=AC554,MATCH(AC554,'FOMC exp '!$C$6:$C$22,1),AD553)</f>
        <v>13</v>
      </c>
      <c r="AE554" s="18" cm="1">
        <f t="array" ref="AE554">INDEX('FOMC exp '!$C$6:$D$23,AD554,2)</f>
        <v>4.4999999999999998E-2</v>
      </c>
    </row>
    <row r="555" spans="1:31">
      <c r="A555" t="str">
        <f t="shared" si="165"/>
        <v>Saturday</v>
      </c>
      <c r="B555" s="1">
        <f t="shared" si="166"/>
        <v>46305</v>
      </c>
      <c r="C555" s="45" t="str">
        <f>IF(LEFT(A555,1)="S","",VLOOKUP(B555,$AC$4:$AE$734,3)-'Quoting term rates'!$C$4)</f>
        <v/>
      </c>
      <c r="E555" s="45" t="str">
        <f t="shared" si="160"/>
        <v/>
      </c>
      <c r="AC555" s="1">
        <f t="shared" si="169"/>
        <v>46305</v>
      </c>
      <c r="AD555">
        <f>IF(VLOOKUP(AC555,'FOMC exp '!$C$6:$C$22,1)=AC555,MATCH(AC555,'FOMC exp '!$C$6:$C$22,1),AD554)</f>
        <v>13</v>
      </c>
      <c r="AE555" s="18" cm="1">
        <f t="array" ref="AE555">INDEX('FOMC exp '!$C$6:$D$23,AD555,2)</f>
        <v>4.4999999999999998E-2</v>
      </c>
    </row>
    <row r="556" spans="1:31">
      <c r="A556" t="str">
        <f t="shared" si="165"/>
        <v>Sunday</v>
      </c>
      <c r="B556" s="1">
        <f t="shared" si="166"/>
        <v>46306</v>
      </c>
      <c r="C556" s="45" t="str">
        <f>IF(LEFT(A556,1)="S","",VLOOKUP(B556,$AC$4:$AE$734,3)-'Quoting term rates'!$C$4)</f>
        <v/>
      </c>
      <c r="E556" s="45" t="str">
        <f t="shared" si="160"/>
        <v/>
      </c>
      <c r="AC556" s="1">
        <f t="shared" si="169"/>
        <v>46306</v>
      </c>
      <c r="AD556">
        <f>IF(VLOOKUP(AC556,'FOMC exp '!$C$6:$C$22,1)=AC556,MATCH(AC556,'FOMC exp '!$C$6:$C$22,1),AD555)</f>
        <v>13</v>
      </c>
      <c r="AE556" s="18" cm="1">
        <f t="array" ref="AE556">INDEX('FOMC exp '!$C$6:$D$23,AD556,2)</f>
        <v>4.4999999999999998E-2</v>
      </c>
    </row>
    <row r="557" spans="1:31">
      <c r="A557" t="str">
        <f t="shared" si="165"/>
        <v>Monday</v>
      </c>
      <c r="B557" s="1">
        <f t="shared" si="166"/>
        <v>46307</v>
      </c>
      <c r="C557" s="45">
        <f>IF(LEFT(A557,1)="S","",VLOOKUP(B557,$AC$4:$AE$734,3)-'Quoting term rates'!$C$4)</f>
        <v>4.3299999999999998E-2</v>
      </c>
      <c r="D557">
        <f t="shared" si="163"/>
        <v>1.0687675731619162</v>
      </c>
      <c r="E557" s="45">
        <f t="shared" si="160"/>
        <v>4.4767317067431874E-2</v>
      </c>
      <c r="AC557" s="1">
        <f t="shared" si="169"/>
        <v>46307</v>
      </c>
      <c r="AD557">
        <f>IF(VLOOKUP(AC557,'FOMC exp '!$C$6:$C$22,1)=AC557,MATCH(AC557,'FOMC exp '!$C$6:$C$22,1),AD556)</f>
        <v>13</v>
      </c>
      <c r="AE557" s="18" cm="1">
        <f t="array" ref="AE557">INDEX('FOMC exp '!$C$6:$D$23,AD557,2)</f>
        <v>4.4999999999999998E-2</v>
      </c>
    </row>
    <row r="558" spans="1:31">
      <c r="A558" t="str">
        <f t="shared" si="165"/>
        <v>Tuesday</v>
      </c>
      <c r="B558" s="1">
        <f t="shared" si="166"/>
        <v>46308</v>
      </c>
      <c r="C558" s="45">
        <f>IF(LEFT(A558,1)="S","",VLOOKUP(B558,$AC$4:$AE$734,3)-'Quoting term rates'!$C$4)</f>
        <v>4.3299999999999998E-2</v>
      </c>
      <c r="D558">
        <f t="shared" ref="D558:D561" si="173">D557*(1+C557*1/360)</f>
        <v>1.0688961221505771</v>
      </c>
      <c r="E558" s="45">
        <f t="shared" si="160"/>
        <v>4.4770043274743217E-2</v>
      </c>
      <c r="AC558" s="1">
        <f t="shared" si="169"/>
        <v>46308</v>
      </c>
      <c r="AD558">
        <f>IF(VLOOKUP(AC558,'FOMC exp '!$C$6:$C$22,1)=AC558,MATCH(AC558,'FOMC exp '!$C$6:$C$22,1),AD557)</f>
        <v>13</v>
      </c>
      <c r="AE558" s="18" cm="1">
        <f t="array" ref="AE558">INDEX('FOMC exp '!$C$6:$D$23,AD558,2)</f>
        <v>4.4999999999999998E-2</v>
      </c>
    </row>
    <row r="559" spans="1:31">
      <c r="A559" t="str">
        <f t="shared" si="165"/>
        <v>Wednesday</v>
      </c>
      <c r="B559" s="1">
        <f t="shared" si="166"/>
        <v>46309</v>
      </c>
      <c r="C559" s="45">
        <f>IF(LEFT(A559,1)="S","",VLOOKUP(B559,$AC$4:$AE$734,3)-'Quoting term rates'!$C$4)</f>
        <v>4.3299999999999998E-2</v>
      </c>
      <c r="D559">
        <f t="shared" si="173"/>
        <v>1.0690246866008246</v>
      </c>
      <c r="E559" s="45">
        <f t="shared" si="160"/>
        <v>4.4772769687021374E-2</v>
      </c>
      <c r="AC559" s="1">
        <f t="shared" si="169"/>
        <v>46309</v>
      </c>
      <c r="AD559">
        <f>IF(VLOOKUP(AC559,'FOMC exp '!$C$6:$C$22,1)=AC559,MATCH(AC559,'FOMC exp '!$C$6:$C$22,1),AD558)</f>
        <v>13</v>
      </c>
      <c r="AE559" s="18" cm="1">
        <f t="array" ref="AE559">INDEX('FOMC exp '!$C$6:$D$23,AD559,2)</f>
        <v>4.4999999999999998E-2</v>
      </c>
    </row>
    <row r="560" spans="1:31">
      <c r="A560" t="str">
        <f t="shared" si="165"/>
        <v>Thursday</v>
      </c>
      <c r="B560" s="1">
        <f t="shared" si="166"/>
        <v>46310</v>
      </c>
      <c r="C560" s="45">
        <f>IF(LEFT(A560,1)="S","",VLOOKUP(B560,$AC$4:$AE$734,3)-'Quoting term rates'!$C$4)</f>
        <v>4.3299999999999998E-2</v>
      </c>
      <c r="D560">
        <f t="shared" si="173"/>
        <v>1.0691532665145185</v>
      </c>
      <c r="E560" s="45">
        <f t="shared" si="160"/>
        <v>4.4775496304364483E-2</v>
      </c>
      <c r="AC560" s="1">
        <f t="shared" si="169"/>
        <v>46310</v>
      </c>
      <c r="AD560">
        <f>IF(VLOOKUP(AC560,'FOMC exp '!$C$6:$C$22,1)=AC560,MATCH(AC560,'FOMC exp '!$C$6:$C$22,1),AD559)</f>
        <v>13</v>
      </c>
      <c r="AE560" s="18" cm="1">
        <f t="array" ref="AE560">INDEX('FOMC exp '!$C$6:$D$23,AD560,2)</f>
        <v>4.4999999999999998E-2</v>
      </c>
    </row>
    <row r="561" spans="1:31">
      <c r="A561" t="str">
        <f t="shared" si="165"/>
        <v>Friday</v>
      </c>
      <c r="B561" s="1">
        <f t="shared" si="166"/>
        <v>46311</v>
      </c>
      <c r="C561" s="45">
        <f>IF(LEFT(A561,1)="S","",VLOOKUP(B561,$AC$4:$AE$734,3)-'Quoting term rates'!$C$4)</f>
        <v>4.3299999999999998E-2</v>
      </c>
      <c r="D561">
        <f t="shared" si="173"/>
        <v>1.0692818618935187</v>
      </c>
      <c r="E561" s="45">
        <f t="shared" ref="E561:E624" si="174">IF((D561-1)*360/(B561-$B$4)&lt;0,"",(D561-1)*360/(B561-$B$4))</f>
        <v>4.4778223126870256E-2</v>
      </c>
      <c r="AC561" s="1">
        <f t="shared" si="169"/>
        <v>46311</v>
      </c>
      <c r="AD561">
        <f>IF(VLOOKUP(AC561,'FOMC exp '!$C$6:$C$22,1)=AC561,MATCH(AC561,'FOMC exp '!$C$6:$C$22,1),AD560)</f>
        <v>13</v>
      </c>
      <c r="AE561" s="18" cm="1">
        <f t="array" ref="AE561">INDEX('FOMC exp '!$C$6:$D$23,AD561,2)</f>
        <v>4.4999999999999998E-2</v>
      </c>
    </row>
    <row r="562" spans="1:31">
      <c r="A562" t="str">
        <f t="shared" si="165"/>
        <v>Saturday</v>
      </c>
      <c r="B562" s="1">
        <f t="shared" si="166"/>
        <v>46312</v>
      </c>
      <c r="C562" s="45" t="str">
        <f>IF(LEFT(A562,1)="S","",VLOOKUP(B562,$AC$4:$AE$734,3)-'Quoting term rates'!$C$4)</f>
        <v/>
      </c>
      <c r="E562" s="45" t="str">
        <f t="shared" si="174"/>
        <v/>
      </c>
      <c r="AC562" s="1">
        <f t="shared" si="169"/>
        <v>46312</v>
      </c>
      <c r="AD562">
        <f>IF(VLOOKUP(AC562,'FOMC exp '!$C$6:$C$22,1)=AC562,MATCH(AC562,'FOMC exp '!$C$6:$C$22,1),AD561)</f>
        <v>13</v>
      </c>
      <c r="AE562" s="18" cm="1">
        <f t="array" ref="AE562">INDEX('FOMC exp '!$C$6:$D$23,AD562,2)</f>
        <v>4.4999999999999998E-2</v>
      </c>
    </row>
    <row r="563" spans="1:31">
      <c r="A563" t="str">
        <f t="shared" si="165"/>
        <v>Sunday</v>
      </c>
      <c r="B563" s="1">
        <f t="shared" si="166"/>
        <v>46313</v>
      </c>
      <c r="C563" s="45" t="str">
        <f>IF(LEFT(A563,1)="S","",VLOOKUP(B563,$AC$4:$AE$734,3)-'Quoting term rates'!$C$4)</f>
        <v/>
      </c>
      <c r="E563" s="45" t="str">
        <f t="shared" si="174"/>
        <v/>
      </c>
      <c r="AC563" s="1">
        <f t="shared" si="169"/>
        <v>46313</v>
      </c>
      <c r="AD563">
        <f>IF(VLOOKUP(AC563,'FOMC exp '!$C$6:$C$22,1)=AC563,MATCH(AC563,'FOMC exp '!$C$6:$C$22,1),AD562)</f>
        <v>13</v>
      </c>
      <c r="AE563" s="18" cm="1">
        <f t="array" ref="AE563">INDEX('FOMC exp '!$C$6:$D$23,AD563,2)</f>
        <v>4.4999999999999998E-2</v>
      </c>
    </row>
    <row r="564" spans="1:31">
      <c r="A564" t="str">
        <f t="shared" si="165"/>
        <v>Monday</v>
      </c>
      <c r="B564" s="1">
        <f t="shared" si="166"/>
        <v>46314</v>
      </c>
      <c r="C564" s="45">
        <f>IF(LEFT(A564,1)="S","",VLOOKUP(B564,$AC$4:$AE$734,3)-'Quoting term rates'!$C$4)</f>
        <v>4.3299999999999998E-2</v>
      </c>
      <c r="D564">
        <f t="shared" si="163"/>
        <v>1.0696676944320187</v>
      </c>
      <c r="E564" s="45">
        <f t="shared" si="174"/>
        <v>4.4786374992012018E-2</v>
      </c>
      <c r="AC564" s="1">
        <f t="shared" si="169"/>
        <v>46314</v>
      </c>
      <c r="AD564">
        <f>IF(VLOOKUP(AC564,'FOMC exp '!$C$6:$C$22,1)=AC564,MATCH(AC564,'FOMC exp '!$C$6:$C$22,1),AD563)</f>
        <v>13</v>
      </c>
      <c r="AE564" s="18" cm="1">
        <f t="array" ref="AE564">INDEX('FOMC exp '!$C$6:$D$23,AD564,2)</f>
        <v>4.4999999999999998E-2</v>
      </c>
    </row>
    <row r="565" spans="1:31">
      <c r="A565" t="str">
        <f t="shared" si="165"/>
        <v>Tuesday</v>
      </c>
      <c r="B565" s="1">
        <f t="shared" si="166"/>
        <v>46315</v>
      </c>
      <c r="C565" s="45">
        <f>IF(LEFT(A565,1)="S","",VLOOKUP(B565,$AC$4:$AE$734,3)-'Quoting term rates'!$C$4)</f>
        <v>4.3299999999999998E-2</v>
      </c>
      <c r="D565">
        <f t="shared" ref="D565:D568" si="175">D564*(1+C564*1/360)</f>
        <v>1.0697963516852658</v>
      </c>
      <c r="E565" s="45">
        <f t="shared" si="174"/>
        <v>4.4789102685732045E-2</v>
      </c>
      <c r="AC565" s="1">
        <f t="shared" si="169"/>
        <v>46315</v>
      </c>
      <c r="AD565">
        <f>IF(VLOOKUP(AC565,'FOMC exp '!$C$6:$C$22,1)=AC565,MATCH(AC565,'FOMC exp '!$C$6:$C$22,1),AD564)</f>
        <v>13</v>
      </c>
      <c r="AE565" s="18" cm="1">
        <f t="array" ref="AE565">INDEX('FOMC exp '!$C$6:$D$23,AD565,2)</f>
        <v>4.4999999999999998E-2</v>
      </c>
    </row>
    <row r="566" spans="1:31">
      <c r="A566" t="str">
        <f t="shared" si="165"/>
        <v>Wednesday</v>
      </c>
      <c r="B566" s="1">
        <f t="shared" si="166"/>
        <v>46316</v>
      </c>
      <c r="C566" s="45">
        <f>IF(LEFT(A566,1)="S","",VLOOKUP(B566,$AC$4:$AE$734,3)-'Quoting term rates'!$C$4)</f>
        <v>4.3299999999999998E-2</v>
      </c>
      <c r="D566">
        <f t="shared" si="175"/>
        <v>1.0699250244131213</v>
      </c>
      <c r="E566" s="45">
        <f t="shared" si="174"/>
        <v>4.479183058491757E-2</v>
      </c>
      <c r="AC566" s="1">
        <f t="shared" si="169"/>
        <v>46316</v>
      </c>
      <c r="AD566">
        <f>IF(VLOOKUP(AC566,'FOMC exp '!$C$6:$C$22,1)=AC566,MATCH(AC566,'FOMC exp '!$C$6:$C$22,1),AD565)</f>
        <v>13</v>
      </c>
      <c r="AE566" s="18" cm="1">
        <f t="array" ref="AE566">INDEX('FOMC exp '!$C$6:$D$23,AD566,2)</f>
        <v>4.4999999999999998E-2</v>
      </c>
    </row>
    <row r="567" spans="1:31">
      <c r="A567" t="str">
        <f t="shared" si="165"/>
        <v>Thursday</v>
      </c>
      <c r="B567" s="1">
        <f t="shared" si="166"/>
        <v>46317</v>
      </c>
      <c r="C567" s="45">
        <f>IF(LEFT(A567,1)="S","",VLOOKUP(B567,$AC$4:$AE$734,3)-'Quoting term rates'!$C$4)</f>
        <v>4.3299999999999998E-2</v>
      </c>
      <c r="D567">
        <f t="shared" si="175"/>
        <v>1.0700537126174465</v>
      </c>
      <c r="E567" s="45">
        <f t="shared" si="174"/>
        <v>4.4794558689663852E-2</v>
      </c>
      <c r="AC567" s="1">
        <f t="shared" si="169"/>
        <v>46317</v>
      </c>
      <c r="AD567">
        <f>IF(VLOOKUP(AC567,'FOMC exp '!$C$6:$C$22,1)=AC567,MATCH(AC567,'FOMC exp '!$C$6:$C$22,1),AD566)</f>
        <v>13</v>
      </c>
      <c r="AE567" s="18" cm="1">
        <f t="array" ref="AE567">INDEX('FOMC exp '!$C$6:$D$23,AD567,2)</f>
        <v>4.4999999999999998E-2</v>
      </c>
    </row>
    <row r="568" spans="1:31">
      <c r="A568" t="str">
        <f t="shared" si="165"/>
        <v>Friday</v>
      </c>
      <c r="B568" s="1">
        <f t="shared" si="166"/>
        <v>46318</v>
      </c>
      <c r="C568" s="45">
        <f>IF(LEFT(A568,1)="S","",VLOOKUP(B568,$AC$4:$AE$734,3)-'Quoting term rates'!$C$4)</f>
        <v>4.3299999999999998E-2</v>
      </c>
      <c r="D568">
        <f t="shared" si="175"/>
        <v>1.070182416300103</v>
      </c>
      <c r="E568" s="45">
        <f t="shared" si="174"/>
        <v>4.4797287000065758E-2</v>
      </c>
      <c r="AC568" s="1">
        <f t="shared" si="169"/>
        <v>46318</v>
      </c>
      <c r="AD568">
        <f>IF(VLOOKUP(AC568,'FOMC exp '!$C$6:$C$22,1)=AC568,MATCH(AC568,'FOMC exp '!$C$6:$C$22,1),AD567)</f>
        <v>13</v>
      </c>
      <c r="AE568" s="18" cm="1">
        <f t="array" ref="AE568">INDEX('FOMC exp '!$C$6:$D$23,AD568,2)</f>
        <v>4.4999999999999998E-2</v>
      </c>
    </row>
    <row r="569" spans="1:31">
      <c r="A569" t="str">
        <f t="shared" si="165"/>
        <v>Saturday</v>
      </c>
      <c r="B569" s="1">
        <f t="shared" si="166"/>
        <v>46319</v>
      </c>
      <c r="C569" s="45" t="str">
        <f>IF(LEFT(A569,1)="S","",VLOOKUP(B569,$AC$4:$AE$734,3)-'Quoting term rates'!$C$4)</f>
        <v/>
      </c>
      <c r="E569" s="45" t="str">
        <f t="shared" si="174"/>
        <v/>
      </c>
      <c r="AC569" s="1">
        <f t="shared" si="169"/>
        <v>46319</v>
      </c>
      <c r="AD569">
        <f>IF(VLOOKUP(AC569,'FOMC exp '!$C$6:$C$22,1)=AC569,MATCH(AC569,'FOMC exp '!$C$6:$C$22,1),AD568)</f>
        <v>13</v>
      </c>
      <c r="AE569" s="18" cm="1">
        <f t="array" ref="AE569">INDEX('FOMC exp '!$C$6:$D$23,AD569,2)</f>
        <v>4.4999999999999998E-2</v>
      </c>
    </row>
    <row r="570" spans="1:31">
      <c r="A570" t="str">
        <f t="shared" si="165"/>
        <v>Sunday</v>
      </c>
      <c r="B570" s="1">
        <f t="shared" si="166"/>
        <v>46320</v>
      </c>
      <c r="C570" s="45" t="str">
        <f>IF(LEFT(A570,1)="S","",VLOOKUP(B570,$AC$4:$AE$734,3)-'Quoting term rates'!$C$4)</f>
        <v/>
      </c>
      <c r="E570" s="45" t="str">
        <f t="shared" si="174"/>
        <v/>
      </c>
      <c r="AC570" s="1">
        <f t="shared" si="169"/>
        <v>46320</v>
      </c>
      <c r="AD570">
        <f>IF(VLOOKUP(AC570,'FOMC exp '!$C$6:$C$22,1)=AC570,MATCH(AC570,'FOMC exp '!$C$6:$C$22,1),AD569)</f>
        <v>13</v>
      </c>
      <c r="AE570" s="18" cm="1">
        <f t="array" ref="AE570">INDEX('FOMC exp '!$C$6:$D$23,AD570,2)</f>
        <v>4.4999999999999998E-2</v>
      </c>
    </row>
    <row r="571" spans="1:31">
      <c r="A571" t="str">
        <f t="shared" si="165"/>
        <v>Monday</v>
      </c>
      <c r="B571" s="1">
        <f t="shared" si="166"/>
        <v>46321</v>
      </c>
      <c r="C571" s="45">
        <f>IF(LEFT(A571,1)="S","",VLOOKUP(B571,$AC$4:$AE$734,3)-'Quoting term rates'!$C$4)</f>
        <v>4.3299999999999998E-2</v>
      </c>
      <c r="D571">
        <f t="shared" si="163"/>
        <v>1.0705685737886514</v>
      </c>
      <c r="E571" s="45">
        <f t="shared" si="174"/>
        <v>4.4805443675334254E-2</v>
      </c>
      <c r="AC571" s="1">
        <f t="shared" si="169"/>
        <v>46321</v>
      </c>
      <c r="AD571">
        <f>IF(VLOOKUP(AC571,'FOMC exp '!$C$6:$C$22,1)=AC571,MATCH(AC571,'FOMC exp '!$C$6:$C$22,1),AD570)</f>
        <v>13</v>
      </c>
      <c r="AE571" s="18" cm="1">
        <f t="array" ref="AE571">INDEX('FOMC exp '!$C$6:$D$23,AD571,2)</f>
        <v>4.4999999999999998E-2</v>
      </c>
    </row>
    <row r="572" spans="1:31">
      <c r="A572" t="str">
        <f t="shared" si="165"/>
        <v>Tuesday</v>
      </c>
      <c r="B572" s="1">
        <f t="shared" si="166"/>
        <v>46322</v>
      </c>
      <c r="C572" s="45">
        <f>IF(LEFT(A572,1)="S","",VLOOKUP(B572,$AC$4:$AE$734,3)-'Quoting term rates'!$C$4)</f>
        <v>4.3299999999999998E-2</v>
      </c>
      <c r="D572">
        <f t="shared" ref="D572:D575" si="176">D571*(1+C571*1/360)</f>
        <v>1.0706973393976655</v>
      </c>
      <c r="E572" s="45">
        <f t="shared" si="174"/>
        <v>4.4808172857675341E-2</v>
      </c>
      <c r="AC572" s="1">
        <f t="shared" si="169"/>
        <v>46322</v>
      </c>
      <c r="AD572">
        <f>IF(VLOOKUP(AC572,'FOMC exp '!$C$6:$C$22,1)=AC572,MATCH(AC572,'FOMC exp '!$C$6:$C$22,1),AD571)</f>
        <v>13</v>
      </c>
      <c r="AE572" s="18" cm="1">
        <f t="array" ref="AE572">INDEX('FOMC exp '!$C$6:$D$23,AD572,2)</f>
        <v>4.4999999999999998E-2</v>
      </c>
    </row>
    <row r="573" spans="1:31">
      <c r="A573" t="str">
        <f t="shared" si="165"/>
        <v>Wednesday</v>
      </c>
      <c r="B573" s="1">
        <f t="shared" si="166"/>
        <v>46323</v>
      </c>
      <c r="C573" s="45">
        <f>IF(LEFT(A573,1)="S","",VLOOKUP(B573,$AC$4:$AE$734,3)-'Quoting term rates'!$C$4)</f>
        <v>4.3299999999999998E-2</v>
      </c>
      <c r="D573">
        <f t="shared" si="176"/>
        <v>1.0708261204943208</v>
      </c>
      <c r="E573" s="45">
        <f t="shared" si="174"/>
        <v>4.4810902245967461E-2</v>
      </c>
      <c r="AC573" s="1">
        <f t="shared" si="169"/>
        <v>46323</v>
      </c>
      <c r="AD573">
        <f>IF(VLOOKUP(AC573,'FOMC exp '!$C$6:$C$22,1)=AC573,MATCH(AC573,'FOMC exp '!$C$6:$C$22,1),AD572)</f>
        <v>14</v>
      </c>
      <c r="AE573" s="18" cm="1">
        <f t="array" ref="AE573">INDEX('FOMC exp '!$C$6:$D$23,AD573,2)</f>
        <v>4.4999999999999998E-2</v>
      </c>
    </row>
    <row r="574" spans="1:31">
      <c r="A574" t="str">
        <f t="shared" si="165"/>
        <v>Thursday</v>
      </c>
      <c r="B574" s="1">
        <f t="shared" si="166"/>
        <v>46324</v>
      </c>
      <c r="C574" s="45">
        <f>IF(LEFT(A574,1)="S","",VLOOKUP(B574,$AC$4:$AE$734,3)-'Quoting term rates'!$C$4)</f>
        <v>4.3299999999999998E-2</v>
      </c>
      <c r="D574">
        <f t="shared" si="176"/>
        <v>1.0709549170804802</v>
      </c>
      <c r="E574" s="45">
        <f t="shared" si="174"/>
        <v>4.4813631840303278E-2</v>
      </c>
      <c r="AC574" s="1">
        <f t="shared" si="169"/>
        <v>46324</v>
      </c>
      <c r="AD574">
        <f>IF(VLOOKUP(AC574,'FOMC exp '!$C$6:$C$22,1)=AC574,MATCH(AC574,'FOMC exp '!$C$6:$C$22,1),AD573)</f>
        <v>14</v>
      </c>
      <c r="AE574" s="18" cm="1">
        <f t="array" ref="AE574">INDEX('FOMC exp '!$C$6:$D$23,AD574,2)</f>
        <v>4.4999999999999998E-2</v>
      </c>
    </row>
    <row r="575" spans="1:31">
      <c r="A575" t="str">
        <f t="shared" si="165"/>
        <v>Friday</v>
      </c>
      <c r="B575" s="1">
        <f t="shared" si="166"/>
        <v>46325</v>
      </c>
      <c r="C575" s="45">
        <f>IF(LEFT(A575,1)="S","",VLOOKUP(B575,$AC$4:$AE$734,3)-'Quoting term rates'!$C$4)</f>
        <v>4.3299999999999998E-2</v>
      </c>
      <c r="D575">
        <f t="shared" si="176"/>
        <v>1.0710837291580069</v>
      </c>
      <c r="E575" s="45">
        <f t="shared" si="174"/>
        <v>4.4816361640774904E-2</v>
      </c>
      <c r="AC575" s="1">
        <f t="shared" si="169"/>
        <v>46325</v>
      </c>
      <c r="AD575">
        <f>IF(VLOOKUP(AC575,'FOMC exp '!$C$6:$C$22,1)=AC575,MATCH(AC575,'FOMC exp '!$C$6:$C$22,1),AD574)</f>
        <v>14</v>
      </c>
      <c r="AE575" s="18" cm="1">
        <f t="array" ref="AE575">INDEX('FOMC exp '!$C$6:$D$23,AD575,2)</f>
        <v>4.4999999999999998E-2</v>
      </c>
    </row>
    <row r="576" spans="1:31">
      <c r="A576" t="str">
        <f t="shared" si="165"/>
        <v>Saturday</v>
      </c>
      <c r="B576" s="1">
        <f t="shared" si="166"/>
        <v>46326</v>
      </c>
      <c r="C576" s="45" t="str">
        <f>IF(LEFT(A576,1)="S","",VLOOKUP(B576,$AC$4:$AE$734,3)-'Quoting term rates'!$C$4)</f>
        <v/>
      </c>
      <c r="E576" s="45" t="str">
        <f t="shared" si="174"/>
        <v/>
      </c>
      <c r="AC576" s="1">
        <f t="shared" si="169"/>
        <v>46326</v>
      </c>
      <c r="AD576">
        <f>IF(VLOOKUP(AC576,'FOMC exp '!$C$6:$C$22,1)=AC576,MATCH(AC576,'FOMC exp '!$C$6:$C$22,1),AD575)</f>
        <v>14</v>
      </c>
      <c r="AE576" s="18" cm="1">
        <f t="array" ref="AE576">INDEX('FOMC exp '!$C$6:$D$23,AD576,2)</f>
        <v>4.4999999999999998E-2</v>
      </c>
    </row>
    <row r="577" spans="1:31">
      <c r="A577" t="str">
        <f t="shared" si="165"/>
        <v>Sunday</v>
      </c>
      <c r="B577" s="1">
        <f t="shared" si="166"/>
        <v>46327</v>
      </c>
      <c r="C577" s="45" t="str">
        <f>IF(LEFT(A577,1)="S","",VLOOKUP(B577,$AC$4:$AE$734,3)-'Quoting term rates'!$C$4)</f>
        <v/>
      </c>
      <c r="E577" s="45" t="str">
        <f t="shared" si="174"/>
        <v/>
      </c>
      <c r="AC577" s="1">
        <f t="shared" si="169"/>
        <v>46327</v>
      </c>
      <c r="AD577">
        <f>IF(VLOOKUP(AC577,'FOMC exp '!$C$6:$C$22,1)=AC577,MATCH(AC577,'FOMC exp '!$C$6:$C$22,1),AD576)</f>
        <v>14</v>
      </c>
      <c r="AE577" s="18" cm="1">
        <f t="array" ref="AE577">INDEX('FOMC exp '!$C$6:$D$23,AD577,2)</f>
        <v>4.4999999999999998E-2</v>
      </c>
    </row>
    <row r="578" spans="1:31">
      <c r="A578" t="str">
        <f t="shared" si="165"/>
        <v>Monday</v>
      </c>
      <c r="B578" s="1">
        <f t="shared" si="166"/>
        <v>46328</v>
      </c>
      <c r="C578" s="45">
        <f>IF(LEFT(A578,1)="S","",VLOOKUP(B578,$AC$4:$AE$734,3)-'Quoting term rates'!$C$4)</f>
        <v>4.3299999999999998E-2</v>
      </c>
      <c r="D578">
        <f t="shared" si="163"/>
        <v>1.0714702118702781</v>
      </c>
      <c r="E578" s="45">
        <f t="shared" si="174"/>
        <v>4.4824523124216253E-2</v>
      </c>
      <c r="AC578" s="1">
        <f t="shared" si="169"/>
        <v>46328</v>
      </c>
      <c r="AD578">
        <f>IF(VLOOKUP(AC578,'FOMC exp '!$C$6:$C$22,1)=AC578,MATCH(AC578,'FOMC exp '!$C$6:$C$22,1),AD577)</f>
        <v>14</v>
      </c>
      <c r="AE578" s="18" cm="1">
        <f t="array" ref="AE578">INDEX('FOMC exp '!$C$6:$D$23,AD578,2)</f>
        <v>4.4999999999999998E-2</v>
      </c>
    </row>
    <row r="579" spans="1:31">
      <c r="A579" t="str">
        <f t="shared" si="165"/>
        <v>Tuesday</v>
      </c>
      <c r="B579" s="1">
        <f t="shared" si="166"/>
        <v>46329</v>
      </c>
      <c r="C579" s="45">
        <f>IF(LEFT(A579,1)="S","",VLOOKUP(B579,$AC$4:$AE$734,3)-'Quoting term rates'!$C$4)</f>
        <v>4.3299999999999998E-2</v>
      </c>
      <c r="D579">
        <f t="shared" ref="D579:D582" si="177">D578*(1+C578*1/360)</f>
        <v>1.0715990859263169</v>
      </c>
      <c r="E579" s="45">
        <f t="shared" si="174"/>
        <v>4.4827253797346242E-2</v>
      </c>
      <c r="AC579" s="1">
        <f t="shared" si="169"/>
        <v>46329</v>
      </c>
      <c r="AD579">
        <f>IF(VLOOKUP(AC579,'FOMC exp '!$C$6:$C$22,1)=AC579,MATCH(AC579,'FOMC exp '!$C$6:$C$22,1),AD578)</f>
        <v>14</v>
      </c>
      <c r="AE579" s="18" cm="1">
        <f t="array" ref="AE579">INDEX('FOMC exp '!$C$6:$D$23,AD579,2)</f>
        <v>4.4999999999999998E-2</v>
      </c>
    </row>
    <row r="580" spans="1:31">
      <c r="A580" t="str">
        <f t="shared" si="165"/>
        <v>Wednesday</v>
      </c>
      <c r="B580" s="1">
        <f t="shared" si="166"/>
        <v>46330</v>
      </c>
      <c r="C580" s="45">
        <f>IF(LEFT(A580,1)="S","",VLOOKUP(B580,$AC$4:$AE$734,3)-'Quoting term rates'!$C$4)</f>
        <v>4.3299999999999998E-2</v>
      </c>
      <c r="D580">
        <f t="shared" si="177"/>
        <v>1.0717279754830409</v>
      </c>
      <c r="E580" s="45">
        <f t="shared" si="174"/>
        <v>4.4829984676900553E-2</v>
      </c>
      <c r="AC580" s="1">
        <f t="shared" si="169"/>
        <v>46330</v>
      </c>
      <c r="AD580">
        <f>IF(VLOOKUP(AC580,'FOMC exp '!$C$6:$C$22,1)=AC580,MATCH(AC580,'FOMC exp '!$C$6:$C$22,1),AD579)</f>
        <v>14</v>
      </c>
      <c r="AE580" s="18" cm="1">
        <f t="array" ref="AE580">INDEX('FOMC exp '!$C$6:$D$23,AD580,2)</f>
        <v>4.4999999999999998E-2</v>
      </c>
    </row>
    <row r="581" spans="1:31">
      <c r="A581" t="str">
        <f t="shared" ref="A581:A644" si="178">VLOOKUP(WEEKDAY(B581,2),$Z$2:$AA$8,2)</f>
        <v>Thursday</v>
      </c>
      <c r="B581" s="1">
        <f t="shared" si="166"/>
        <v>46331</v>
      </c>
      <c r="C581" s="45">
        <f>IF(LEFT(A581,1)="S","",VLOOKUP(B581,$AC$4:$AE$734,3)-'Quoting term rates'!$C$4)</f>
        <v>4.3299999999999998E-2</v>
      </c>
      <c r="D581">
        <f t="shared" si="177"/>
        <v>1.0718568805423143</v>
      </c>
      <c r="E581" s="45">
        <f t="shared" si="174"/>
        <v>4.4832715762969065E-2</v>
      </c>
      <c r="AC581" s="1">
        <f t="shared" si="169"/>
        <v>46331</v>
      </c>
      <c r="AD581">
        <f>IF(VLOOKUP(AC581,'FOMC exp '!$C$6:$C$22,1)=AC581,MATCH(AC581,'FOMC exp '!$C$6:$C$22,1),AD580)</f>
        <v>14</v>
      </c>
      <c r="AE581" s="18" cm="1">
        <f t="array" ref="AE581">INDEX('FOMC exp '!$C$6:$D$23,AD581,2)</f>
        <v>4.4999999999999998E-2</v>
      </c>
    </row>
    <row r="582" spans="1:31">
      <c r="A582" t="str">
        <f t="shared" si="178"/>
        <v>Friday</v>
      </c>
      <c r="B582" s="1">
        <f t="shared" ref="B582:B645" si="179">B581+1</f>
        <v>46332</v>
      </c>
      <c r="C582" s="45">
        <f>IF(LEFT(A582,1)="S","",VLOOKUP(B582,$AC$4:$AE$734,3)-'Quoting term rates'!$C$4)</f>
        <v>4.3299999999999998E-2</v>
      </c>
      <c r="D582">
        <f t="shared" si="177"/>
        <v>1.0719858011060017</v>
      </c>
      <c r="E582" s="45">
        <f t="shared" si="174"/>
        <v>4.4835447055641214E-2</v>
      </c>
      <c r="AC582" s="1">
        <f t="shared" si="169"/>
        <v>46332</v>
      </c>
      <c r="AD582">
        <f>IF(VLOOKUP(AC582,'FOMC exp '!$C$6:$C$22,1)=AC582,MATCH(AC582,'FOMC exp '!$C$6:$C$22,1),AD581)</f>
        <v>14</v>
      </c>
      <c r="AE582" s="18" cm="1">
        <f t="array" ref="AE582">INDEX('FOMC exp '!$C$6:$D$23,AD582,2)</f>
        <v>4.4999999999999998E-2</v>
      </c>
    </row>
    <row r="583" spans="1:31">
      <c r="A583" t="str">
        <f t="shared" si="178"/>
        <v>Saturday</v>
      </c>
      <c r="B583" s="1">
        <f t="shared" si="179"/>
        <v>46333</v>
      </c>
      <c r="C583" s="45" t="str">
        <f>IF(LEFT(A583,1)="S","",VLOOKUP(B583,$AC$4:$AE$734,3)-'Quoting term rates'!$C$4)</f>
        <v/>
      </c>
      <c r="E583" s="45" t="str">
        <f t="shared" si="174"/>
        <v/>
      </c>
      <c r="AC583" s="1">
        <f t="shared" si="169"/>
        <v>46333</v>
      </c>
      <c r="AD583">
        <f>IF(VLOOKUP(AC583,'FOMC exp '!$C$6:$C$22,1)=AC583,MATCH(AC583,'FOMC exp '!$C$6:$C$22,1),AD582)</f>
        <v>14</v>
      </c>
      <c r="AE583" s="18" cm="1">
        <f t="array" ref="AE583">INDEX('FOMC exp '!$C$6:$D$23,AD583,2)</f>
        <v>4.4999999999999998E-2</v>
      </c>
    </row>
    <row r="584" spans="1:31">
      <c r="A584" t="str">
        <f t="shared" si="178"/>
        <v>Sunday</v>
      </c>
      <c r="B584" s="1">
        <f t="shared" si="179"/>
        <v>46334</v>
      </c>
      <c r="C584" s="45" t="str">
        <f>IF(LEFT(A584,1)="S","",VLOOKUP(B584,$AC$4:$AE$734,3)-'Quoting term rates'!$C$4)</f>
        <v/>
      </c>
      <c r="E584" s="45" t="str">
        <f t="shared" si="174"/>
        <v/>
      </c>
      <c r="AC584" s="1">
        <f t="shared" si="169"/>
        <v>46334</v>
      </c>
      <c r="AD584">
        <f>IF(VLOOKUP(AC584,'FOMC exp '!$C$6:$C$22,1)=AC584,MATCH(AC584,'FOMC exp '!$C$6:$C$22,1),AD583)</f>
        <v>14</v>
      </c>
      <c r="AE584" s="18" cm="1">
        <f t="array" ref="AE584">INDEX('FOMC exp '!$C$6:$D$23,AD584,2)</f>
        <v>4.4999999999999998E-2</v>
      </c>
    </row>
    <row r="585" spans="1:31">
      <c r="A585" t="str">
        <f t="shared" si="178"/>
        <v>Monday</v>
      </c>
      <c r="B585" s="1">
        <f t="shared" si="179"/>
        <v>46335</v>
      </c>
      <c r="C585" s="45">
        <f>IF(LEFT(A585,1)="S","",VLOOKUP(B585,$AC$4:$AE$734,3)-'Quoting term rates'!$C$4)</f>
        <v>4.3299999999999998E-2</v>
      </c>
      <c r="D585">
        <f t="shared" ref="D585:D648" si="180">D582*(1+C582*3/360)</f>
        <v>1.0723726093159009</v>
      </c>
      <c r="E585" s="45">
        <f t="shared" si="174"/>
        <v>4.4843613345480794E-2</v>
      </c>
      <c r="AC585" s="1">
        <f t="shared" si="169"/>
        <v>46335</v>
      </c>
      <c r="AD585">
        <f>IF(VLOOKUP(AC585,'FOMC exp '!$C$6:$C$22,1)=AC585,MATCH(AC585,'FOMC exp '!$C$6:$C$22,1),AD584)</f>
        <v>14</v>
      </c>
      <c r="AE585" s="18" cm="1">
        <f t="array" ref="AE585">INDEX('FOMC exp '!$C$6:$D$23,AD585,2)</f>
        <v>4.4999999999999998E-2</v>
      </c>
    </row>
    <row r="586" spans="1:31">
      <c r="A586" t="str">
        <f t="shared" si="178"/>
        <v>Tuesday</v>
      </c>
      <c r="B586" s="1">
        <f t="shared" si="179"/>
        <v>46336</v>
      </c>
      <c r="C586" s="45">
        <f>IF(LEFT(A586,1)="S","",VLOOKUP(B586,$AC$4:$AE$734,3)-'Quoting term rates'!$C$4)</f>
        <v>4.3299999999999998E-2</v>
      </c>
      <c r="D586">
        <f t="shared" ref="D586:D589" si="181">D585*(1+C585*1/360)</f>
        <v>1.0725015919102991</v>
      </c>
      <c r="E586" s="45">
        <f t="shared" si="174"/>
        <v>4.4846345511525249E-2</v>
      </c>
      <c r="AC586" s="1">
        <f t="shared" si="169"/>
        <v>46336</v>
      </c>
      <c r="AD586">
        <f>IF(VLOOKUP(AC586,'FOMC exp '!$C$6:$C$22,1)=AC586,MATCH(AC586,'FOMC exp '!$C$6:$C$22,1),AD585)</f>
        <v>14</v>
      </c>
      <c r="AE586" s="18" cm="1">
        <f t="array" ref="AE586">INDEX('FOMC exp '!$C$6:$D$23,AD586,2)</f>
        <v>4.4999999999999998E-2</v>
      </c>
    </row>
    <row r="587" spans="1:31">
      <c r="A587" t="str">
        <f t="shared" si="178"/>
        <v>Wednesday</v>
      </c>
      <c r="B587" s="1">
        <f t="shared" si="179"/>
        <v>46337</v>
      </c>
      <c r="C587" s="45">
        <f>IF(LEFT(A587,1)="S","",VLOOKUP(B587,$AC$4:$AE$734,3)-'Quoting term rates'!$C$4)</f>
        <v>4.3299999999999998E-2</v>
      </c>
      <c r="D587">
        <f t="shared" si="181"/>
        <v>1.0726305900184372</v>
      </c>
      <c r="E587" s="45">
        <f t="shared" si="174"/>
        <v>4.4849077884455212E-2</v>
      </c>
      <c r="AC587" s="1">
        <f t="shared" si="169"/>
        <v>46337</v>
      </c>
      <c r="AD587">
        <f>IF(VLOOKUP(AC587,'FOMC exp '!$C$6:$C$22,1)=AC587,MATCH(AC587,'FOMC exp '!$C$6:$C$22,1),AD586)</f>
        <v>14</v>
      </c>
      <c r="AE587" s="18" cm="1">
        <f t="array" ref="AE587">INDEX('FOMC exp '!$C$6:$D$23,AD587,2)</f>
        <v>4.4999999999999998E-2</v>
      </c>
    </row>
    <row r="588" spans="1:31">
      <c r="A588" t="str">
        <f t="shared" si="178"/>
        <v>Thursday</v>
      </c>
      <c r="B588" s="1">
        <f t="shared" si="179"/>
        <v>46338</v>
      </c>
      <c r="C588" s="45">
        <f>IF(LEFT(A588,1)="S","",VLOOKUP(B588,$AC$4:$AE$734,3)-'Quoting term rates'!$C$4)</f>
        <v>4.3299999999999998E-2</v>
      </c>
      <c r="D588">
        <f t="shared" si="181"/>
        <v>1.0727596036421811</v>
      </c>
      <c r="E588" s="45">
        <f t="shared" si="174"/>
        <v>4.4851810464358238E-2</v>
      </c>
      <c r="AC588" s="1">
        <f t="shared" si="169"/>
        <v>46338</v>
      </c>
      <c r="AD588">
        <f>IF(VLOOKUP(AC588,'FOMC exp '!$C$6:$C$22,1)=AC588,MATCH(AC588,'FOMC exp '!$C$6:$C$22,1),AD587)</f>
        <v>14</v>
      </c>
      <c r="AE588" s="18" cm="1">
        <f t="array" ref="AE588">INDEX('FOMC exp '!$C$6:$D$23,AD588,2)</f>
        <v>4.4999999999999998E-2</v>
      </c>
    </row>
    <row r="589" spans="1:31">
      <c r="A589" t="str">
        <f t="shared" si="178"/>
        <v>Friday</v>
      </c>
      <c r="B589" s="1">
        <f t="shared" si="179"/>
        <v>46339</v>
      </c>
      <c r="C589" s="45">
        <f>IF(LEFT(A589,1)="S","",VLOOKUP(B589,$AC$4:$AE$734,3)-'Quoting term rates'!$C$4)</f>
        <v>4.3299999999999998E-2</v>
      </c>
      <c r="D589">
        <f t="shared" si="181"/>
        <v>1.0728886327833971</v>
      </c>
      <c r="E589" s="45">
        <f t="shared" si="174"/>
        <v>4.485454325132128E-2</v>
      </c>
      <c r="AC589" s="1">
        <f t="shared" si="169"/>
        <v>46339</v>
      </c>
      <c r="AD589">
        <f>IF(VLOOKUP(AC589,'FOMC exp '!$C$6:$C$22,1)=AC589,MATCH(AC589,'FOMC exp '!$C$6:$C$22,1),AD588)</f>
        <v>14</v>
      </c>
      <c r="AE589" s="18" cm="1">
        <f t="array" ref="AE589">INDEX('FOMC exp '!$C$6:$D$23,AD589,2)</f>
        <v>4.4999999999999998E-2</v>
      </c>
    </row>
    <row r="590" spans="1:31">
      <c r="A590" t="str">
        <f t="shared" si="178"/>
        <v>Saturday</v>
      </c>
      <c r="B590" s="1">
        <f t="shared" si="179"/>
        <v>46340</v>
      </c>
      <c r="C590" s="45" t="str">
        <f>IF(LEFT(A590,1)="S","",VLOOKUP(B590,$AC$4:$AE$734,3)-'Quoting term rates'!$C$4)</f>
        <v/>
      </c>
      <c r="E590" s="45" t="str">
        <f t="shared" si="174"/>
        <v/>
      </c>
      <c r="AC590" s="1">
        <f t="shared" si="169"/>
        <v>46340</v>
      </c>
      <c r="AD590">
        <f>IF(VLOOKUP(AC590,'FOMC exp '!$C$6:$C$22,1)=AC590,MATCH(AC590,'FOMC exp '!$C$6:$C$22,1),AD589)</f>
        <v>14</v>
      </c>
      <c r="AE590" s="18" cm="1">
        <f t="array" ref="AE590">INDEX('FOMC exp '!$C$6:$D$23,AD590,2)</f>
        <v>4.4999999999999998E-2</v>
      </c>
    </row>
    <row r="591" spans="1:31">
      <c r="A591" t="str">
        <f t="shared" si="178"/>
        <v>Sunday</v>
      </c>
      <c r="B591" s="1">
        <f t="shared" si="179"/>
        <v>46341</v>
      </c>
      <c r="C591" s="45" t="str">
        <f>IF(LEFT(A591,1)="S","",VLOOKUP(B591,$AC$4:$AE$734,3)-'Quoting term rates'!$C$4)</f>
        <v/>
      </c>
      <c r="E591" s="45" t="str">
        <f t="shared" si="174"/>
        <v/>
      </c>
      <c r="AC591" s="1">
        <f t="shared" si="169"/>
        <v>46341</v>
      </c>
      <c r="AD591">
        <f>IF(VLOOKUP(AC591,'FOMC exp '!$C$6:$C$22,1)=AC591,MATCH(AC591,'FOMC exp '!$C$6:$C$22,1),AD590)</f>
        <v>14</v>
      </c>
      <c r="AE591" s="18" cm="1">
        <f t="array" ref="AE591">INDEX('FOMC exp '!$C$6:$D$23,AD591,2)</f>
        <v>4.4999999999999998E-2</v>
      </c>
    </row>
    <row r="592" spans="1:31">
      <c r="A592" t="str">
        <f t="shared" si="178"/>
        <v>Monday</v>
      </c>
      <c r="B592" s="1">
        <f t="shared" si="179"/>
        <v>46342</v>
      </c>
      <c r="C592" s="45">
        <f>IF(LEFT(A592,1)="S","",VLOOKUP(B592,$AC$4:$AE$734,3)-'Quoting term rates'!$C$4)</f>
        <v>4.3299999999999998E-2</v>
      </c>
      <c r="D592">
        <f t="shared" si="180"/>
        <v>1.0732757667650599</v>
      </c>
      <c r="E592" s="45">
        <f t="shared" si="174"/>
        <v>4.4862714345955026E-2</v>
      </c>
      <c r="AC592" s="1">
        <f t="shared" si="169"/>
        <v>46342</v>
      </c>
      <c r="AD592">
        <f>IF(VLOOKUP(AC592,'FOMC exp '!$C$6:$C$22,1)=AC592,MATCH(AC592,'FOMC exp '!$C$6:$C$22,1),AD591)</f>
        <v>14</v>
      </c>
      <c r="AE592" s="18" cm="1">
        <f t="array" ref="AE592">INDEX('FOMC exp '!$C$6:$D$23,AD592,2)</f>
        <v>4.4999999999999998E-2</v>
      </c>
    </row>
    <row r="593" spans="1:31">
      <c r="A593" t="str">
        <f t="shared" si="178"/>
        <v>Tuesday</v>
      </c>
      <c r="B593" s="1">
        <f t="shared" si="179"/>
        <v>46343</v>
      </c>
      <c r="C593" s="45">
        <f>IF(LEFT(A593,1)="S","",VLOOKUP(B593,$AC$4:$AE$734,3)-'Quoting term rates'!$C$4)</f>
        <v>4.3299999999999998E-2</v>
      </c>
      <c r="D593">
        <f t="shared" ref="D593:D596" si="182">D592*(1+C592*1/360)</f>
        <v>1.073404857989229</v>
      </c>
      <c r="E593" s="45">
        <f t="shared" si="174"/>
        <v>4.4865448006999063E-2</v>
      </c>
      <c r="AC593" s="1">
        <f t="shared" si="169"/>
        <v>46343</v>
      </c>
      <c r="AD593">
        <f>IF(VLOOKUP(AC593,'FOMC exp '!$C$6:$C$22,1)=AC593,MATCH(AC593,'FOMC exp '!$C$6:$C$22,1),AD592)</f>
        <v>14</v>
      </c>
      <c r="AE593" s="18" cm="1">
        <f t="array" ref="AE593">INDEX('FOMC exp '!$C$6:$D$23,AD593,2)</f>
        <v>4.4999999999999998E-2</v>
      </c>
    </row>
    <row r="594" spans="1:31">
      <c r="A594" t="str">
        <f t="shared" si="178"/>
        <v>Wednesday</v>
      </c>
      <c r="B594" s="1">
        <f t="shared" si="179"/>
        <v>46344</v>
      </c>
      <c r="C594" s="45">
        <f>IF(LEFT(A594,1)="S","",VLOOKUP(B594,$AC$4:$AE$734,3)-'Quoting term rates'!$C$4)</f>
        <v>4.3299999999999998E-2</v>
      </c>
      <c r="D594">
        <f t="shared" si="182"/>
        <v>1.0735339647402038</v>
      </c>
      <c r="E594" s="45">
        <f t="shared" si="174"/>
        <v>4.4868181875378582E-2</v>
      </c>
      <c r="AC594" s="1">
        <f t="shared" si="169"/>
        <v>46344</v>
      </c>
      <c r="AD594">
        <f>IF(VLOOKUP(AC594,'FOMC exp '!$C$6:$C$22,1)=AC594,MATCH(AC594,'FOMC exp '!$C$6:$C$22,1),AD593)</f>
        <v>14</v>
      </c>
      <c r="AE594" s="18" cm="1">
        <f t="array" ref="AE594">INDEX('FOMC exp '!$C$6:$D$23,AD594,2)</f>
        <v>4.4999999999999998E-2</v>
      </c>
    </row>
    <row r="595" spans="1:31">
      <c r="A595" t="str">
        <f t="shared" si="178"/>
        <v>Thursday</v>
      </c>
      <c r="B595" s="1">
        <f t="shared" si="179"/>
        <v>46345</v>
      </c>
      <c r="C595" s="45">
        <f>IF(LEFT(A595,1)="S","",VLOOKUP(B595,$AC$4:$AE$734,3)-'Quoting term rates'!$C$4)</f>
        <v>4.3299999999999998E-2</v>
      </c>
      <c r="D595">
        <f t="shared" si="182"/>
        <v>1.0736630870198518</v>
      </c>
      <c r="E595" s="45">
        <f t="shared" si="174"/>
        <v>4.4870915951178758E-2</v>
      </c>
      <c r="AC595" s="1">
        <f t="shared" si="169"/>
        <v>46345</v>
      </c>
      <c r="AD595">
        <f>IF(VLOOKUP(AC595,'FOMC exp '!$C$6:$C$22,1)=AC595,MATCH(AC595,'FOMC exp '!$C$6:$C$22,1),AD594)</f>
        <v>14</v>
      </c>
      <c r="AE595" s="18" cm="1">
        <f t="array" ref="AE595">INDEX('FOMC exp '!$C$6:$D$23,AD595,2)</f>
        <v>4.4999999999999998E-2</v>
      </c>
    </row>
    <row r="596" spans="1:31">
      <c r="A596" t="str">
        <f t="shared" si="178"/>
        <v>Friday</v>
      </c>
      <c r="B596" s="1">
        <f t="shared" si="179"/>
        <v>46346</v>
      </c>
      <c r="C596" s="45">
        <f>IF(LEFT(A596,1)="S","",VLOOKUP(B596,$AC$4:$AE$734,3)-'Quoting term rates'!$C$4)</f>
        <v>4.3299999999999998E-2</v>
      </c>
      <c r="D596">
        <f t="shared" si="182"/>
        <v>1.0737922248300407</v>
      </c>
      <c r="E596" s="45">
        <f t="shared" si="174"/>
        <v>4.487365023448419E-2</v>
      </c>
      <c r="AC596" s="1">
        <f t="shared" si="169"/>
        <v>46346</v>
      </c>
      <c r="AD596">
        <f>IF(VLOOKUP(AC596,'FOMC exp '!$C$6:$C$22,1)=AC596,MATCH(AC596,'FOMC exp '!$C$6:$C$22,1),AD595)</f>
        <v>14</v>
      </c>
      <c r="AE596" s="18" cm="1">
        <f t="array" ref="AE596">INDEX('FOMC exp '!$C$6:$D$23,AD596,2)</f>
        <v>4.4999999999999998E-2</v>
      </c>
    </row>
    <row r="597" spans="1:31">
      <c r="A597" t="str">
        <f t="shared" si="178"/>
        <v>Saturday</v>
      </c>
      <c r="B597" s="1">
        <f t="shared" si="179"/>
        <v>46347</v>
      </c>
      <c r="C597" s="45" t="str">
        <f>IF(LEFT(A597,1)="S","",VLOOKUP(B597,$AC$4:$AE$734,3)-'Quoting term rates'!$C$4)</f>
        <v/>
      </c>
      <c r="E597" s="45" t="str">
        <f t="shared" si="174"/>
        <v/>
      </c>
      <c r="AC597" s="1">
        <f t="shared" si="169"/>
        <v>46347</v>
      </c>
      <c r="AD597">
        <f>IF(VLOOKUP(AC597,'FOMC exp '!$C$6:$C$22,1)=AC597,MATCH(AC597,'FOMC exp '!$C$6:$C$22,1),AD596)</f>
        <v>14</v>
      </c>
      <c r="AE597" s="18" cm="1">
        <f t="array" ref="AE597">INDEX('FOMC exp '!$C$6:$D$23,AD597,2)</f>
        <v>4.4999999999999998E-2</v>
      </c>
    </row>
    <row r="598" spans="1:31">
      <c r="A598" t="str">
        <f t="shared" si="178"/>
        <v>Sunday</v>
      </c>
      <c r="B598" s="1">
        <f t="shared" si="179"/>
        <v>46348</v>
      </c>
      <c r="C598" s="45" t="str">
        <f>IF(LEFT(A598,1)="S","",VLOOKUP(B598,$AC$4:$AE$734,3)-'Quoting term rates'!$C$4)</f>
        <v/>
      </c>
      <c r="E598" s="45" t="str">
        <f t="shared" si="174"/>
        <v/>
      </c>
      <c r="AC598" s="1">
        <f t="shared" si="169"/>
        <v>46348</v>
      </c>
      <c r="AD598">
        <f>IF(VLOOKUP(AC598,'FOMC exp '!$C$6:$C$22,1)=AC598,MATCH(AC598,'FOMC exp '!$C$6:$C$22,1),AD597)</f>
        <v>14</v>
      </c>
      <c r="AE598" s="18" cm="1">
        <f t="array" ref="AE598">INDEX('FOMC exp '!$C$6:$D$23,AD598,2)</f>
        <v>4.4999999999999998E-2</v>
      </c>
    </row>
    <row r="599" spans="1:31">
      <c r="A599" t="str">
        <f t="shared" si="178"/>
        <v>Monday</v>
      </c>
      <c r="B599" s="1">
        <f t="shared" si="179"/>
        <v>46349</v>
      </c>
      <c r="C599" s="45">
        <f>IF(LEFT(A599,1)="S","",VLOOKUP(B599,$AC$4:$AE$734,3)-'Quoting term rates'!$C$4)</f>
        <v>4.3299999999999998E-2</v>
      </c>
      <c r="D599">
        <f t="shared" si="180"/>
        <v>1.0741796848578335</v>
      </c>
      <c r="E599" s="45">
        <f t="shared" si="174"/>
        <v>4.4881826132470722E-2</v>
      </c>
      <c r="AC599" s="1">
        <f t="shared" si="169"/>
        <v>46349</v>
      </c>
      <c r="AD599">
        <f>IF(VLOOKUP(AC599,'FOMC exp '!$C$6:$C$22,1)=AC599,MATCH(AC599,'FOMC exp '!$C$6:$C$22,1),AD598)</f>
        <v>14</v>
      </c>
      <c r="AE599" s="18" cm="1">
        <f t="array" ref="AE599">INDEX('FOMC exp '!$C$6:$D$23,AD599,2)</f>
        <v>4.4999999999999998E-2</v>
      </c>
    </row>
    <row r="600" spans="1:31">
      <c r="A600" t="str">
        <f t="shared" si="178"/>
        <v>Tuesday</v>
      </c>
      <c r="B600" s="1">
        <f t="shared" si="179"/>
        <v>46350</v>
      </c>
      <c r="C600" s="45">
        <f>IF(LEFT(A600,1)="S","",VLOOKUP(B600,$AC$4:$AE$734,3)-'Quoting term rates'!$C$4)</f>
        <v>4.3299999999999998E-2</v>
      </c>
      <c r="D600">
        <f t="shared" ref="D600:D603" si="183">D599*(1+C599*1/360)</f>
        <v>1.0743088848032623</v>
      </c>
      <c r="E600" s="45">
        <f t="shared" si="174"/>
        <v>4.4884561290561092E-2</v>
      </c>
      <c r="AC600" s="1">
        <f t="shared" ref="AC600:AC663" si="184">B600</f>
        <v>46350</v>
      </c>
      <c r="AD600">
        <f>IF(VLOOKUP(AC600,'FOMC exp '!$C$6:$C$22,1)=AC600,MATCH(AC600,'FOMC exp '!$C$6:$C$22,1),AD599)</f>
        <v>14</v>
      </c>
      <c r="AE600" s="18" cm="1">
        <f t="array" ref="AE600">INDEX('FOMC exp '!$C$6:$D$23,AD600,2)</f>
        <v>4.4999999999999998E-2</v>
      </c>
    </row>
    <row r="601" spans="1:31">
      <c r="A601" t="str">
        <f t="shared" si="178"/>
        <v>Wednesday</v>
      </c>
      <c r="B601" s="1">
        <f t="shared" si="179"/>
        <v>46351</v>
      </c>
      <c r="C601" s="45">
        <f>IF(LEFT(A601,1)="S","",VLOOKUP(B601,$AC$4:$AE$734,3)-'Quoting term rates'!$C$4)</f>
        <v>4.3299999999999998E-2</v>
      </c>
      <c r="D601">
        <f t="shared" si="183"/>
        <v>1.0744381002885732</v>
      </c>
      <c r="E601" s="45">
        <f t="shared" si="174"/>
        <v>4.4887296656426066E-2</v>
      </c>
      <c r="AC601" s="1">
        <f t="shared" si="184"/>
        <v>46351</v>
      </c>
      <c r="AD601">
        <f>IF(VLOOKUP(AC601,'FOMC exp '!$C$6:$C$22,1)=AC601,MATCH(AC601,'FOMC exp '!$C$6:$C$22,1),AD600)</f>
        <v>14</v>
      </c>
      <c r="AE601" s="18" cm="1">
        <f t="array" ref="AE601">INDEX('FOMC exp '!$C$6:$D$23,AD601,2)</f>
        <v>4.4999999999999998E-2</v>
      </c>
    </row>
    <row r="602" spans="1:31">
      <c r="A602" t="str">
        <f t="shared" si="178"/>
        <v>Thursday</v>
      </c>
      <c r="B602" s="1">
        <f t="shared" si="179"/>
        <v>46352</v>
      </c>
      <c r="C602" s="45">
        <f>IF(LEFT(A602,1)="S","",VLOOKUP(B602,$AC$4:$AE$734,3)-'Quoting term rates'!$C$4)</f>
        <v>4.3299999999999998E-2</v>
      </c>
      <c r="D602">
        <f t="shared" si="183"/>
        <v>1.0745673313156356</v>
      </c>
      <c r="E602" s="45">
        <f t="shared" si="174"/>
        <v>4.4890032230148542E-2</v>
      </c>
      <c r="AC602" s="1">
        <f t="shared" si="184"/>
        <v>46352</v>
      </c>
      <c r="AD602">
        <f>IF(VLOOKUP(AC602,'FOMC exp '!$C$6:$C$22,1)=AC602,MATCH(AC602,'FOMC exp '!$C$6:$C$22,1),AD601)</f>
        <v>14</v>
      </c>
      <c r="AE602" s="18" cm="1">
        <f t="array" ref="AE602">INDEX('FOMC exp '!$C$6:$D$23,AD602,2)</f>
        <v>4.4999999999999998E-2</v>
      </c>
    </row>
    <row r="603" spans="1:31">
      <c r="A603" t="str">
        <f t="shared" si="178"/>
        <v>Friday</v>
      </c>
      <c r="B603" s="1">
        <f t="shared" si="179"/>
        <v>46353</v>
      </c>
      <c r="C603" s="45">
        <f>IF(LEFT(A603,1)="S","",VLOOKUP(B603,$AC$4:$AE$734,3)-'Quoting term rates'!$C$4)</f>
        <v>4.3299999999999998E-2</v>
      </c>
      <c r="D603">
        <f t="shared" si="183"/>
        <v>1.0746965778863189</v>
      </c>
      <c r="E603" s="45">
        <f t="shared" si="174"/>
        <v>4.4892768011811017E-2</v>
      </c>
      <c r="AC603" s="1">
        <f t="shared" si="184"/>
        <v>46353</v>
      </c>
      <c r="AD603">
        <f>IF(VLOOKUP(AC603,'FOMC exp '!$C$6:$C$22,1)=AC603,MATCH(AC603,'FOMC exp '!$C$6:$C$22,1),AD602)</f>
        <v>14</v>
      </c>
      <c r="AE603" s="18" cm="1">
        <f t="array" ref="AE603">INDEX('FOMC exp '!$C$6:$D$23,AD603,2)</f>
        <v>4.4999999999999998E-2</v>
      </c>
    </row>
    <row r="604" spans="1:31">
      <c r="A604" t="str">
        <f t="shared" si="178"/>
        <v>Saturday</v>
      </c>
      <c r="B604" s="1">
        <f t="shared" si="179"/>
        <v>46354</v>
      </c>
      <c r="C604" s="45" t="str">
        <f>IF(LEFT(A604,1)="S","",VLOOKUP(B604,$AC$4:$AE$734,3)-'Quoting term rates'!$C$4)</f>
        <v/>
      </c>
      <c r="E604" s="45" t="str">
        <f t="shared" si="174"/>
        <v/>
      </c>
      <c r="AC604" s="1">
        <f t="shared" si="184"/>
        <v>46354</v>
      </c>
      <c r="AD604">
        <f>IF(VLOOKUP(AC604,'FOMC exp '!$C$6:$C$22,1)=AC604,MATCH(AC604,'FOMC exp '!$C$6:$C$22,1),AD603)</f>
        <v>14</v>
      </c>
      <c r="AE604" s="18" cm="1">
        <f t="array" ref="AE604">INDEX('FOMC exp '!$C$6:$D$23,AD604,2)</f>
        <v>4.4999999999999998E-2</v>
      </c>
    </row>
    <row r="605" spans="1:31">
      <c r="A605" t="str">
        <f t="shared" si="178"/>
        <v>Sunday</v>
      </c>
      <c r="B605" s="1">
        <f t="shared" si="179"/>
        <v>46355</v>
      </c>
      <c r="C605" s="45" t="str">
        <f>IF(LEFT(A605,1)="S","",VLOOKUP(B605,$AC$4:$AE$734,3)-'Quoting term rates'!$C$4)</f>
        <v/>
      </c>
      <c r="E605" s="45" t="str">
        <f t="shared" si="174"/>
        <v/>
      </c>
      <c r="AC605" s="1">
        <f t="shared" si="184"/>
        <v>46355</v>
      </c>
      <c r="AD605">
        <f>IF(VLOOKUP(AC605,'FOMC exp '!$C$6:$C$22,1)=AC605,MATCH(AC605,'FOMC exp '!$C$6:$C$22,1),AD604)</f>
        <v>14</v>
      </c>
      <c r="AE605" s="18" cm="1">
        <f t="array" ref="AE605">INDEX('FOMC exp '!$C$6:$D$23,AD605,2)</f>
        <v>4.4999999999999998E-2</v>
      </c>
    </row>
    <row r="606" spans="1:31">
      <c r="A606" t="str">
        <f t="shared" si="178"/>
        <v>Monday</v>
      </c>
      <c r="B606" s="1">
        <f t="shared" si="179"/>
        <v>46356</v>
      </c>
      <c r="C606" s="45">
        <f>IF(LEFT(A606,1)="S","",VLOOKUP(B606,$AC$4:$AE$734,3)-'Quoting term rates'!$C$4)</f>
        <v>4.3299999999999998E-2</v>
      </c>
      <c r="D606">
        <f t="shared" si="180"/>
        <v>1.0750843642348396</v>
      </c>
      <c r="E606" s="45">
        <f t="shared" si="174"/>
        <v>4.4900948711864182E-2</v>
      </c>
      <c r="AC606" s="1">
        <f t="shared" si="184"/>
        <v>46356</v>
      </c>
      <c r="AD606">
        <f>IF(VLOOKUP(AC606,'FOMC exp '!$C$6:$C$22,1)=AC606,MATCH(AC606,'FOMC exp '!$C$6:$C$22,1),AD605)</f>
        <v>14</v>
      </c>
      <c r="AE606" s="18" cm="1">
        <f t="array" ref="AE606">INDEX('FOMC exp '!$C$6:$D$23,AD606,2)</f>
        <v>4.4999999999999998E-2</v>
      </c>
    </row>
    <row r="607" spans="1:31">
      <c r="A607" t="str">
        <f t="shared" si="178"/>
        <v>Tuesday</v>
      </c>
      <c r="B607" s="1">
        <f t="shared" si="179"/>
        <v>46357</v>
      </c>
      <c r="C607" s="45">
        <f>IF(LEFT(A607,1)="S","",VLOOKUP(B607,$AC$4:$AE$734,3)-'Quoting term rates'!$C$4)</f>
        <v>4.3299999999999998E-2</v>
      </c>
      <c r="D607">
        <f t="shared" ref="D607:D610" si="185">D606*(1+C606*1/360)</f>
        <v>1.0752136729930935</v>
      </c>
      <c r="E607" s="45">
        <f t="shared" si="174"/>
        <v>4.4903685369011015E-2</v>
      </c>
      <c r="AC607" s="1">
        <f t="shared" si="184"/>
        <v>46357</v>
      </c>
      <c r="AD607">
        <f>IF(VLOOKUP(AC607,'FOMC exp '!$C$6:$C$22,1)=AC607,MATCH(AC607,'FOMC exp '!$C$6:$C$22,1),AD606)</f>
        <v>14</v>
      </c>
      <c r="AE607" s="18" cm="1">
        <f t="array" ref="AE607">INDEX('FOMC exp '!$C$6:$D$23,AD607,2)</f>
        <v>4.4999999999999998E-2</v>
      </c>
    </row>
    <row r="608" spans="1:31">
      <c r="A608" t="str">
        <f t="shared" si="178"/>
        <v>Wednesday</v>
      </c>
      <c r="B608" s="1">
        <f t="shared" si="179"/>
        <v>46358</v>
      </c>
      <c r="C608" s="45">
        <f>IF(LEFT(A608,1)="S","",VLOOKUP(B608,$AC$4:$AE$734,3)-'Quoting term rates'!$C$4)</f>
        <v>4.3299999999999998E-2</v>
      </c>
      <c r="D608">
        <f t="shared" si="185"/>
        <v>1.0753429973043174</v>
      </c>
      <c r="E608" s="45">
        <f t="shared" si="174"/>
        <v>4.4906422234361344E-2</v>
      </c>
      <c r="AC608" s="1">
        <f t="shared" si="184"/>
        <v>46358</v>
      </c>
      <c r="AD608">
        <f>IF(VLOOKUP(AC608,'FOMC exp '!$C$6:$C$22,1)=AC608,MATCH(AC608,'FOMC exp '!$C$6:$C$22,1),AD607)</f>
        <v>14</v>
      </c>
      <c r="AE608" s="18" cm="1">
        <f t="array" ref="AE608">INDEX('FOMC exp '!$C$6:$D$23,AD608,2)</f>
        <v>4.4999999999999998E-2</v>
      </c>
    </row>
    <row r="609" spans="1:31">
      <c r="A609" t="str">
        <f t="shared" si="178"/>
        <v>Thursday</v>
      </c>
      <c r="B609" s="1">
        <f t="shared" si="179"/>
        <v>46359</v>
      </c>
      <c r="C609" s="45">
        <f>IF(LEFT(A609,1)="S","",VLOOKUP(B609,$AC$4:$AE$734,3)-'Quoting term rates'!$C$4)</f>
        <v>4.3299999999999998E-2</v>
      </c>
      <c r="D609">
        <f t="shared" si="185"/>
        <v>1.075472337170382</v>
      </c>
      <c r="E609" s="45">
        <f t="shared" si="174"/>
        <v>4.4909159307995924E-2</v>
      </c>
      <c r="AC609" s="1">
        <f t="shared" si="184"/>
        <v>46359</v>
      </c>
      <c r="AD609">
        <f>IF(VLOOKUP(AC609,'FOMC exp '!$C$6:$C$22,1)=AC609,MATCH(AC609,'FOMC exp '!$C$6:$C$22,1),AD608)</f>
        <v>14</v>
      </c>
      <c r="AE609" s="18" cm="1">
        <f t="array" ref="AE609">INDEX('FOMC exp '!$C$6:$D$23,AD609,2)</f>
        <v>4.4999999999999998E-2</v>
      </c>
    </row>
    <row r="610" spans="1:31">
      <c r="A610" t="str">
        <f t="shared" si="178"/>
        <v>Friday</v>
      </c>
      <c r="B610" s="1">
        <f t="shared" si="179"/>
        <v>46360</v>
      </c>
      <c r="C610" s="45">
        <f>IF(LEFT(A610,1)="S","",VLOOKUP(B610,$AC$4:$AE$734,3)-'Quoting term rates'!$C$4)</f>
        <v>4.3299999999999998E-2</v>
      </c>
      <c r="D610">
        <f t="shared" si="185"/>
        <v>1.0756016925931584</v>
      </c>
      <c r="E610" s="45">
        <f t="shared" si="174"/>
        <v>4.4911896589995094E-2</v>
      </c>
      <c r="AC610" s="1">
        <f t="shared" si="184"/>
        <v>46360</v>
      </c>
      <c r="AD610">
        <f>IF(VLOOKUP(AC610,'FOMC exp '!$C$6:$C$22,1)=AC610,MATCH(AC610,'FOMC exp '!$C$6:$C$22,1),AD609)</f>
        <v>14</v>
      </c>
      <c r="AE610" s="18" cm="1">
        <f t="array" ref="AE610">INDEX('FOMC exp '!$C$6:$D$23,AD610,2)</f>
        <v>4.4999999999999998E-2</v>
      </c>
    </row>
    <row r="611" spans="1:31">
      <c r="A611" t="str">
        <f t="shared" si="178"/>
        <v>Saturday</v>
      </c>
      <c r="B611" s="1">
        <f t="shared" si="179"/>
        <v>46361</v>
      </c>
      <c r="C611" s="45" t="str">
        <f>IF(LEFT(A611,1)="S","",VLOOKUP(B611,$AC$4:$AE$734,3)-'Quoting term rates'!$C$4)</f>
        <v/>
      </c>
      <c r="E611" s="45" t="str">
        <f t="shared" si="174"/>
        <v/>
      </c>
      <c r="AC611" s="1">
        <f t="shared" si="184"/>
        <v>46361</v>
      </c>
      <c r="AD611">
        <f>IF(VLOOKUP(AC611,'FOMC exp '!$C$6:$C$22,1)=AC611,MATCH(AC611,'FOMC exp '!$C$6:$C$22,1),AD610)</f>
        <v>14</v>
      </c>
      <c r="AE611" s="18" cm="1">
        <f t="array" ref="AE611">INDEX('FOMC exp '!$C$6:$D$23,AD611,2)</f>
        <v>4.4999999999999998E-2</v>
      </c>
    </row>
    <row r="612" spans="1:31">
      <c r="A612" t="str">
        <f t="shared" si="178"/>
        <v>Sunday</v>
      </c>
      <c r="B612" s="1">
        <f t="shared" si="179"/>
        <v>46362</v>
      </c>
      <c r="C612" s="45" t="str">
        <f>IF(LEFT(A612,1)="S","",VLOOKUP(B612,$AC$4:$AE$734,3)-'Quoting term rates'!$C$4)</f>
        <v/>
      </c>
      <c r="E612" s="45" t="str">
        <f t="shared" si="174"/>
        <v/>
      </c>
      <c r="AC612" s="1">
        <f t="shared" si="184"/>
        <v>46362</v>
      </c>
      <c r="AD612">
        <f>IF(VLOOKUP(AC612,'FOMC exp '!$C$6:$C$22,1)=AC612,MATCH(AC612,'FOMC exp '!$C$6:$C$22,1),AD611)</f>
        <v>14</v>
      </c>
      <c r="AE612" s="18" cm="1">
        <f t="array" ref="AE612">INDEX('FOMC exp '!$C$6:$D$23,AD612,2)</f>
        <v>4.4999999999999998E-2</v>
      </c>
    </row>
    <row r="613" spans="1:31">
      <c r="A613" t="str">
        <f t="shared" si="178"/>
        <v>Monday</v>
      </c>
      <c r="B613" s="1">
        <f t="shared" si="179"/>
        <v>46363</v>
      </c>
      <c r="C613" s="45">
        <f>IF(LEFT(A613,1)="S","",VLOOKUP(B613,$AC$4:$AE$734,3)-'Quoting term rates'!$C$4)</f>
        <v>4.3299999999999998E-2</v>
      </c>
      <c r="D613">
        <f t="shared" si="180"/>
        <v>1.0759898055372359</v>
      </c>
      <c r="E613" s="45">
        <f t="shared" si="174"/>
        <v>4.4920082090976879E-2</v>
      </c>
      <c r="AC613" s="1">
        <f t="shared" si="184"/>
        <v>46363</v>
      </c>
      <c r="AD613">
        <f>IF(VLOOKUP(AC613,'FOMC exp '!$C$6:$C$22,1)=AC613,MATCH(AC613,'FOMC exp '!$C$6:$C$22,1),AD612)</f>
        <v>14</v>
      </c>
      <c r="AE613" s="18" cm="1">
        <f t="array" ref="AE613">INDEX('FOMC exp '!$C$6:$D$23,AD613,2)</f>
        <v>4.4999999999999998E-2</v>
      </c>
    </row>
    <row r="614" spans="1:31">
      <c r="A614" t="str">
        <f t="shared" si="178"/>
        <v>Tuesday</v>
      </c>
      <c r="B614" s="1">
        <f t="shared" si="179"/>
        <v>46364</v>
      </c>
      <c r="C614" s="45">
        <f>IF(LEFT(A614,1)="S","",VLOOKUP(B614,$AC$4:$AE$734,3)-'Quoting term rates'!$C$4)</f>
        <v>4.3299999999999998E-2</v>
      </c>
      <c r="D614">
        <f t="shared" ref="D614:D617" si="186">D613*(1+C613*1/360)</f>
        <v>1.0761192231999575</v>
      </c>
      <c r="E614" s="45">
        <f t="shared" si="174"/>
        <v>4.4922820249155219E-2</v>
      </c>
      <c r="AC614" s="1">
        <f t="shared" si="184"/>
        <v>46364</v>
      </c>
      <c r="AD614">
        <f>IF(VLOOKUP(AC614,'FOMC exp '!$C$6:$C$22,1)=AC614,MATCH(AC614,'FOMC exp '!$C$6:$C$22,1),AD613)</f>
        <v>14</v>
      </c>
      <c r="AE614" s="18" cm="1">
        <f t="array" ref="AE614">INDEX('FOMC exp '!$C$6:$D$23,AD614,2)</f>
        <v>4.4999999999999998E-2</v>
      </c>
    </row>
    <row r="615" spans="1:31">
      <c r="A615" t="str">
        <f t="shared" si="178"/>
        <v>Wednesday</v>
      </c>
      <c r="B615" s="1">
        <f t="shared" si="179"/>
        <v>46365</v>
      </c>
      <c r="C615" s="45">
        <f>IF(LEFT(A615,1)="S","",VLOOKUP(B615,$AC$4:$AE$734,3)-'Quoting term rates'!$C$4)</f>
        <v>4.3299999999999998E-2</v>
      </c>
      <c r="D615">
        <f t="shared" si="186"/>
        <v>1.0762486564287479</v>
      </c>
      <c r="E615" s="45">
        <f t="shared" si="174"/>
        <v>4.4925558615956207E-2</v>
      </c>
      <c r="AC615" s="1">
        <f t="shared" si="184"/>
        <v>46365</v>
      </c>
      <c r="AD615">
        <f>IF(VLOOKUP(AC615,'FOMC exp '!$C$6:$C$22,1)=AC615,MATCH(AC615,'FOMC exp '!$C$6:$C$22,1),AD614)</f>
        <v>15</v>
      </c>
      <c r="AE615" s="18" cm="1">
        <f t="array" ref="AE615">INDEX('FOMC exp '!$C$6:$D$23,AD615,2)</f>
        <v>4.4999999999999998E-2</v>
      </c>
    </row>
    <row r="616" spans="1:31">
      <c r="A616" t="str">
        <f t="shared" si="178"/>
        <v>Thursday</v>
      </c>
      <c r="B616" s="1">
        <f t="shared" si="179"/>
        <v>46366</v>
      </c>
      <c r="C616" s="45">
        <f>IF(LEFT(A616,1)="S","",VLOOKUP(B616,$AC$4:$AE$734,3)-'Quoting term rates'!$C$4)</f>
        <v>4.3299999999999998E-2</v>
      </c>
      <c r="D616">
        <f t="shared" si="186"/>
        <v>1.0763781052254795</v>
      </c>
      <c r="E616" s="45">
        <f t="shared" si="174"/>
        <v>4.4928297191458529E-2</v>
      </c>
      <c r="AC616" s="1">
        <f t="shared" si="184"/>
        <v>46366</v>
      </c>
      <c r="AD616">
        <f>IF(VLOOKUP(AC616,'FOMC exp '!$C$6:$C$22,1)=AC616,MATCH(AC616,'FOMC exp '!$C$6:$C$22,1),AD615)</f>
        <v>15</v>
      </c>
      <c r="AE616" s="18" cm="1">
        <f t="array" ref="AE616">INDEX('FOMC exp '!$C$6:$D$23,AD616,2)</f>
        <v>4.4999999999999998E-2</v>
      </c>
    </row>
    <row r="617" spans="1:31">
      <c r="A617" t="str">
        <f t="shared" si="178"/>
        <v>Friday</v>
      </c>
      <c r="B617" s="1">
        <f t="shared" si="179"/>
        <v>46367</v>
      </c>
      <c r="C617" s="45">
        <f>IF(LEFT(A617,1)="S","",VLOOKUP(B617,$AC$4:$AE$734,3)-'Quoting term rates'!$C$4)</f>
        <v>4.3299999999999998E-2</v>
      </c>
      <c r="D617">
        <f t="shared" si="186"/>
        <v>1.0765075695920248</v>
      </c>
      <c r="E617" s="45">
        <f t="shared" si="174"/>
        <v>4.4931035975740476E-2</v>
      </c>
      <c r="AC617" s="1">
        <f t="shared" si="184"/>
        <v>46367</v>
      </c>
      <c r="AD617">
        <f>IF(VLOOKUP(AC617,'FOMC exp '!$C$6:$C$22,1)=AC617,MATCH(AC617,'FOMC exp '!$C$6:$C$22,1),AD616)</f>
        <v>15</v>
      </c>
      <c r="AE617" s="18" cm="1">
        <f t="array" ref="AE617">INDEX('FOMC exp '!$C$6:$D$23,AD617,2)</f>
        <v>4.4999999999999998E-2</v>
      </c>
    </row>
    <row r="618" spans="1:31">
      <c r="A618" t="str">
        <f t="shared" si="178"/>
        <v>Saturday</v>
      </c>
      <c r="B618" s="1">
        <f t="shared" si="179"/>
        <v>46368</v>
      </c>
      <c r="C618" s="45" t="str">
        <f>IF(LEFT(A618,1)="S","",VLOOKUP(B618,$AC$4:$AE$734,3)-'Quoting term rates'!$C$4)</f>
        <v/>
      </c>
      <c r="E618" s="45" t="str">
        <f t="shared" si="174"/>
        <v/>
      </c>
      <c r="AC618" s="1">
        <f t="shared" si="184"/>
        <v>46368</v>
      </c>
      <c r="AD618">
        <f>IF(VLOOKUP(AC618,'FOMC exp '!$C$6:$C$22,1)=AC618,MATCH(AC618,'FOMC exp '!$C$6:$C$22,1),AD617)</f>
        <v>15</v>
      </c>
      <c r="AE618" s="18" cm="1">
        <f t="array" ref="AE618">INDEX('FOMC exp '!$C$6:$D$23,AD618,2)</f>
        <v>4.4999999999999998E-2</v>
      </c>
    </row>
    <row r="619" spans="1:31">
      <c r="A619" t="str">
        <f t="shared" si="178"/>
        <v>Sunday</v>
      </c>
      <c r="B619" s="1">
        <f t="shared" si="179"/>
        <v>46369</v>
      </c>
      <c r="C619" s="45" t="str">
        <f>IF(LEFT(A619,1)="S","",VLOOKUP(B619,$AC$4:$AE$734,3)-'Quoting term rates'!$C$4)</f>
        <v/>
      </c>
      <c r="E619" s="45" t="str">
        <f t="shared" si="174"/>
        <v/>
      </c>
      <c r="AC619" s="1">
        <f t="shared" si="184"/>
        <v>46369</v>
      </c>
      <c r="AD619">
        <f>IF(VLOOKUP(AC619,'FOMC exp '!$C$6:$C$22,1)=AC619,MATCH(AC619,'FOMC exp '!$C$6:$C$22,1),AD618)</f>
        <v>15</v>
      </c>
      <c r="AE619" s="18" cm="1">
        <f t="array" ref="AE619">INDEX('FOMC exp '!$C$6:$D$23,AD619,2)</f>
        <v>4.4999999999999998E-2</v>
      </c>
    </row>
    <row r="620" spans="1:31">
      <c r="A620" t="str">
        <f t="shared" si="178"/>
        <v>Monday</v>
      </c>
      <c r="B620" s="1">
        <f t="shared" si="179"/>
        <v>46370</v>
      </c>
      <c r="C620" s="45">
        <f>IF(LEFT(A620,1)="S","",VLOOKUP(B620,$AC$4:$AE$734,3)-'Quoting term rates'!$C$4)</f>
        <v>4.3299999999999998E-2</v>
      </c>
      <c r="D620">
        <f t="shared" si="180"/>
        <v>1.0768960094067193</v>
      </c>
      <c r="E620" s="45">
        <f t="shared" si="174"/>
        <v>4.4939226276654115E-2</v>
      </c>
      <c r="AC620" s="1">
        <f t="shared" si="184"/>
        <v>46370</v>
      </c>
      <c r="AD620">
        <f>IF(VLOOKUP(AC620,'FOMC exp '!$C$6:$C$22,1)=AC620,MATCH(AC620,'FOMC exp '!$C$6:$C$22,1),AD619)</f>
        <v>15</v>
      </c>
      <c r="AE620" s="18" cm="1">
        <f t="array" ref="AE620">INDEX('FOMC exp '!$C$6:$D$23,AD620,2)</f>
        <v>4.4999999999999998E-2</v>
      </c>
    </row>
    <row r="621" spans="1:31">
      <c r="A621" t="str">
        <f t="shared" si="178"/>
        <v>Tuesday</v>
      </c>
      <c r="B621" s="1">
        <f t="shared" si="179"/>
        <v>46371</v>
      </c>
      <c r="C621" s="45">
        <f>IF(LEFT(A621,1)="S","",VLOOKUP(B621,$AC$4:$AE$734,3)-'Quoting term rates'!$C$4)</f>
        <v>4.3299999999999998E-2</v>
      </c>
      <c r="D621">
        <f t="shared" ref="D621:D624" si="187">D620*(1+C620*1/360)</f>
        <v>1.0770255360656285</v>
      </c>
      <c r="E621" s="45">
        <f t="shared" si="174"/>
        <v>4.4941965937805903E-2</v>
      </c>
      <c r="AC621" s="1">
        <f t="shared" si="184"/>
        <v>46371</v>
      </c>
      <c r="AD621">
        <f>IF(VLOOKUP(AC621,'FOMC exp '!$C$6:$C$22,1)=AC621,MATCH(AC621,'FOMC exp '!$C$6:$C$22,1),AD620)</f>
        <v>15</v>
      </c>
      <c r="AE621" s="18" cm="1">
        <f t="array" ref="AE621">INDEX('FOMC exp '!$C$6:$D$23,AD621,2)</f>
        <v>4.4999999999999998E-2</v>
      </c>
    </row>
    <row r="622" spans="1:31">
      <c r="A622" t="str">
        <f t="shared" si="178"/>
        <v>Wednesday</v>
      </c>
      <c r="B622" s="1">
        <f t="shared" si="179"/>
        <v>46372</v>
      </c>
      <c r="C622" s="45">
        <f>IF(LEFT(A622,1)="S","",VLOOKUP(B622,$AC$4:$AE$734,3)-'Quoting term rates'!$C$4)</f>
        <v>4.3299999999999998E-2</v>
      </c>
      <c r="D622">
        <f t="shared" si="187"/>
        <v>1.0771550783037163</v>
      </c>
      <c r="E622" s="45">
        <f t="shared" si="174"/>
        <v>4.4944705807990058E-2</v>
      </c>
      <c r="AC622" s="1">
        <f t="shared" si="184"/>
        <v>46372</v>
      </c>
      <c r="AD622">
        <f>IF(VLOOKUP(AC622,'FOMC exp '!$C$6:$C$22,1)=AC622,MATCH(AC622,'FOMC exp '!$C$6:$C$22,1),AD621)</f>
        <v>15</v>
      </c>
      <c r="AE622" s="18" cm="1">
        <f t="array" ref="AE622">INDEX('FOMC exp '!$C$6:$D$23,AD622,2)</f>
        <v>4.4999999999999998E-2</v>
      </c>
    </row>
    <row r="623" spans="1:31">
      <c r="A623" t="str">
        <f t="shared" si="178"/>
        <v>Thursday</v>
      </c>
      <c r="B623" s="1">
        <f t="shared" si="179"/>
        <v>46373</v>
      </c>
      <c r="C623" s="45">
        <f>IF(LEFT(A623,1)="S","",VLOOKUP(B623,$AC$4:$AE$734,3)-'Quoting term rates'!$C$4)</f>
        <v>4.3299999999999998E-2</v>
      </c>
      <c r="D623">
        <f t="shared" si="187"/>
        <v>1.0772846361228567</v>
      </c>
      <c r="E623" s="45">
        <f t="shared" si="174"/>
        <v>4.4947445887283402E-2</v>
      </c>
      <c r="AC623" s="1">
        <f t="shared" si="184"/>
        <v>46373</v>
      </c>
      <c r="AD623">
        <f>IF(VLOOKUP(AC623,'FOMC exp '!$C$6:$C$22,1)=AC623,MATCH(AC623,'FOMC exp '!$C$6:$C$22,1),AD622)</f>
        <v>15</v>
      </c>
      <c r="AE623" s="18" cm="1">
        <f t="array" ref="AE623">INDEX('FOMC exp '!$C$6:$D$23,AD623,2)</f>
        <v>4.4999999999999998E-2</v>
      </c>
    </row>
    <row r="624" spans="1:31">
      <c r="A624" t="str">
        <f t="shared" si="178"/>
        <v>Friday</v>
      </c>
      <c r="B624" s="1">
        <f t="shared" si="179"/>
        <v>46374</v>
      </c>
      <c r="C624" s="45">
        <f>IF(LEFT(A624,1)="S","",VLOOKUP(B624,$AC$4:$AE$734,3)-'Quoting term rates'!$C$4)</f>
        <v>4.3299999999999998E-2</v>
      </c>
      <c r="D624">
        <f t="shared" si="187"/>
        <v>1.0774142095249237</v>
      </c>
      <c r="E624" s="45">
        <f t="shared" si="174"/>
        <v>4.4950186175762165E-2</v>
      </c>
      <c r="AC624" s="1">
        <f t="shared" si="184"/>
        <v>46374</v>
      </c>
      <c r="AD624">
        <f>IF(VLOOKUP(AC624,'FOMC exp '!$C$6:$C$22,1)=AC624,MATCH(AC624,'FOMC exp '!$C$6:$C$22,1),AD623)</f>
        <v>15</v>
      </c>
      <c r="AE624" s="18" cm="1">
        <f t="array" ref="AE624">INDEX('FOMC exp '!$C$6:$D$23,AD624,2)</f>
        <v>4.4999999999999998E-2</v>
      </c>
    </row>
    <row r="625" spans="1:31">
      <c r="A625" t="str">
        <f t="shared" si="178"/>
        <v>Saturday</v>
      </c>
      <c r="B625" s="1">
        <f t="shared" si="179"/>
        <v>46375</v>
      </c>
      <c r="C625" s="45" t="str">
        <f>IF(LEFT(A625,1)="S","",VLOOKUP(B625,$AC$4:$AE$734,3)-'Quoting term rates'!$C$4)</f>
        <v/>
      </c>
      <c r="E625" s="45" t="str">
        <f t="shared" ref="E625:E688" si="188">IF((D625-1)*360/(B625-$B$4)&lt;0,"",(D625-1)*360/(B625-$B$4))</f>
        <v/>
      </c>
      <c r="AC625" s="1">
        <f t="shared" si="184"/>
        <v>46375</v>
      </c>
      <c r="AD625">
        <f>IF(VLOOKUP(AC625,'FOMC exp '!$C$6:$C$22,1)=AC625,MATCH(AC625,'FOMC exp '!$C$6:$C$22,1),AD624)</f>
        <v>15</v>
      </c>
      <c r="AE625" s="18" cm="1">
        <f t="array" ref="AE625">INDEX('FOMC exp '!$C$6:$D$23,AD625,2)</f>
        <v>4.4999999999999998E-2</v>
      </c>
    </row>
    <row r="626" spans="1:31">
      <c r="A626" t="str">
        <f t="shared" si="178"/>
        <v>Sunday</v>
      </c>
      <c r="B626" s="1">
        <f t="shared" si="179"/>
        <v>46376</v>
      </c>
      <c r="C626" s="45" t="str">
        <f>IF(LEFT(A626,1)="S","",VLOOKUP(B626,$AC$4:$AE$734,3)-'Quoting term rates'!$C$4)</f>
        <v/>
      </c>
      <c r="E626" s="45" t="str">
        <f t="shared" si="188"/>
        <v/>
      </c>
      <c r="AC626" s="1">
        <f t="shared" si="184"/>
        <v>46376</v>
      </c>
      <c r="AD626">
        <f>IF(VLOOKUP(AC626,'FOMC exp '!$C$6:$C$22,1)=AC626,MATCH(AC626,'FOMC exp '!$C$6:$C$22,1),AD625)</f>
        <v>15</v>
      </c>
      <c r="AE626" s="18" cm="1">
        <f t="array" ref="AE626">INDEX('FOMC exp '!$C$6:$D$23,AD626,2)</f>
        <v>4.4999999999999998E-2</v>
      </c>
    </row>
    <row r="627" spans="1:31">
      <c r="A627" t="str">
        <f t="shared" si="178"/>
        <v>Monday</v>
      </c>
      <c r="B627" s="1">
        <f t="shared" si="179"/>
        <v>46377</v>
      </c>
      <c r="C627" s="45">
        <f>IF(LEFT(A627,1)="S","",VLOOKUP(B627,$AC$4:$AE$734,3)-'Quoting term rates'!$C$4)</f>
        <v>4.3299999999999998E-2</v>
      </c>
      <c r="D627">
        <f t="shared" si="180"/>
        <v>1.0778029764855273</v>
      </c>
      <c r="E627" s="45">
        <f t="shared" si="188"/>
        <v>4.4958381275746084E-2</v>
      </c>
      <c r="AC627" s="1">
        <f t="shared" si="184"/>
        <v>46377</v>
      </c>
      <c r="AD627">
        <f>IF(VLOOKUP(AC627,'FOMC exp '!$C$6:$C$22,1)=AC627,MATCH(AC627,'FOMC exp '!$C$6:$C$22,1),AD626)</f>
        <v>15</v>
      </c>
      <c r="AE627" s="18" cm="1">
        <f t="array" ref="AE627">INDEX('FOMC exp '!$C$6:$D$23,AD627,2)</f>
        <v>4.4999999999999998E-2</v>
      </c>
    </row>
    <row r="628" spans="1:31">
      <c r="A628" t="str">
        <f t="shared" si="178"/>
        <v>Tuesday</v>
      </c>
      <c r="B628" s="1">
        <f t="shared" si="179"/>
        <v>46378</v>
      </c>
      <c r="C628" s="45">
        <f>IF(LEFT(A628,1)="S","",VLOOKUP(B628,$AC$4:$AE$734,3)-'Quoting term rates'!$C$4)</f>
        <v>4.3299999999999998E-2</v>
      </c>
      <c r="D628">
        <f t="shared" ref="D628:D631" si="189">D627*(1+C627*1/360)</f>
        <v>1.0779326122324213</v>
      </c>
      <c r="E628" s="45">
        <f t="shared" si="188"/>
        <v>4.4961122441781527E-2</v>
      </c>
      <c r="AC628" s="1">
        <f t="shared" si="184"/>
        <v>46378</v>
      </c>
      <c r="AD628">
        <f>IF(VLOOKUP(AC628,'FOMC exp '!$C$6:$C$22,1)=AC628,MATCH(AC628,'FOMC exp '!$C$6:$C$22,1),AD627)</f>
        <v>15</v>
      </c>
      <c r="AE628" s="18" cm="1">
        <f t="array" ref="AE628">INDEX('FOMC exp '!$C$6:$D$23,AD628,2)</f>
        <v>4.4999999999999998E-2</v>
      </c>
    </row>
    <row r="629" spans="1:31">
      <c r="A629" t="str">
        <f t="shared" si="178"/>
        <v>Wednesday</v>
      </c>
      <c r="B629" s="1">
        <f t="shared" si="179"/>
        <v>46379</v>
      </c>
      <c r="C629" s="45">
        <f>IF(LEFT(A629,1)="S","",VLOOKUP(B629,$AC$4:$AE$734,3)-'Quoting term rates'!$C$4)</f>
        <v>4.3299999999999998E-2</v>
      </c>
      <c r="D629">
        <f t="shared" si="189"/>
        <v>1.0780622635716148</v>
      </c>
      <c r="E629" s="45">
        <f t="shared" si="188"/>
        <v>4.4963863817250142E-2</v>
      </c>
      <c r="AC629" s="1">
        <f t="shared" si="184"/>
        <v>46379</v>
      </c>
      <c r="AD629">
        <f>IF(VLOOKUP(AC629,'FOMC exp '!$C$6:$C$22,1)=AC629,MATCH(AC629,'FOMC exp '!$C$6:$C$22,1),AD628)</f>
        <v>15</v>
      </c>
      <c r="AE629" s="18" cm="1">
        <f t="array" ref="AE629">INDEX('FOMC exp '!$C$6:$D$23,AD629,2)</f>
        <v>4.4999999999999998E-2</v>
      </c>
    </row>
    <row r="630" spans="1:31">
      <c r="A630" t="str">
        <f t="shared" si="178"/>
        <v>Thursday</v>
      </c>
      <c r="B630" s="1">
        <f t="shared" si="179"/>
        <v>46380</v>
      </c>
      <c r="C630" s="45">
        <f>IF(LEFT(A630,1)="S","",VLOOKUP(B630,$AC$4:$AE$734,3)-'Quoting term rates'!$C$4)</f>
        <v>4.3299999999999998E-2</v>
      </c>
      <c r="D630">
        <f t="shared" si="189"/>
        <v>1.0781919305049834</v>
      </c>
      <c r="E630" s="45">
        <f t="shared" si="188"/>
        <v>4.4966605402226884E-2</v>
      </c>
      <c r="AC630" s="1">
        <f t="shared" si="184"/>
        <v>46380</v>
      </c>
      <c r="AD630">
        <f>IF(VLOOKUP(AC630,'FOMC exp '!$C$6:$C$22,1)=AC630,MATCH(AC630,'FOMC exp '!$C$6:$C$22,1),AD629)</f>
        <v>15</v>
      </c>
      <c r="AE630" s="18" cm="1">
        <f t="array" ref="AE630">INDEX('FOMC exp '!$C$6:$D$23,AD630,2)</f>
        <v>4.4999999999999998E-2</v>
      </c>
    </row>
    <row r="631" spans="1:31">
      <c r="A631" t="str">
        <f t="shared" si="178"/>
        <v>Friday</v>
      </c>
      <c r="B631" s="1">
        <f t="shared" si="179"/>
        <v>46381</v>
      </c>
      <c r="C631" s="45">
        <f>IF(LEFT(A631,1)="S","",VLOOKUP(B631,$AC$4:$AE$734,3)-'Quoting term rates'!$C$4)</f>
        <v>4.3299999999999998E-2</v>
      </c>
      <c r="D631">
        <f t="shared" si="189"/>
        <v>1.0783216130344024</v>
      </c>
      <c r="E631" s="45">
        <f t="shared" si="188"/>
        <v>4.4969347196786094E-2</v>
      </c>
      <c r="AC631" s="1">
        <f t="shared" si="184"/>
        <v>46381</v>
      </c>
      <c r="AD631">
        <f>IF(VLOOKUP(AC631,'FOMC exp '!$C$6:$C$22,1)=AC631,MATCH(AC631,'FOMC exp '!$C$6:$C$22,1),AD630)</f>
        <v>15</v>
      </c>
      <c r="AE631" s="18" cm="1">
        <f t="array" ref="AE631">INDEX('FOMC exp '!$C$6:$D$23,AD631,2)</f>
        <v>4.4999999999999998E-2</v>
      </c>
    </row>
    <row r="632" spans="1:31">
      <c r="A632" t="str">
        <f t="shared" si="178"/>
        <v>Saturday</v>
      </c>
      <c r="B632" s="1">
        <f t="shared" si="179"/>
        <v>46382</v>
      </c>
      <c r="C632" s="45" t="str">
        <f>IF(LEFT(A632,1)="S","",VLOOKUP(B632,$AC$4:$AE$734,3)-'Quoting term rates'!$C$4)</f>
        <v/>
      </c>
      <c r="E632" s="45" t="str">
        <f t="shared" si="188"/>
        <v/>
      </c>
      <c r="AC632" s="1">
        <f t="shared" si="184"/>
        <v>46382</v>
      </c>
      <c r="AD632">
        <f>IF(VLOOKUP(AC632,'FOMC exp '!$C$6:$C$22,1)=AC632,MATCH(AC632,'FOMC exp '!$C$6:$C$22,1),AD631)</f>
        <v>15</v>
      </c>
      <c r="AE632" s="18" cm="1">
        <f t="array" ref="AE632">INDEX('FOMC exp '!$C$6:$D$23,AD632,2)</f>
        <v>4.4999999999999998E-2</v>
      </c>
    </row>
    <row r="633" spans="1:31">
      <c r="A633" t="str">
        <f t="shared" si="178"/>
        <v>Sunday</v>
      </c>
      <c r="B633" s="1">
        <f t="shared" si="179"/>
        <v>46383</v>
      </c>
      <c r="C633" s="45" t="str">
        <f>IF(LEFT(A633,1)="S","",VLOOKUP(B633,$AC$4:$AE$734,3)-'Quoting term rates'!$C$4)</f>
        <v/>
      </c>
      <c r="E633" s="45" t="str">
        <f t="shared" si="188"/>
        <v/>
      </c>
      <c r="AC633" s="1">
        <f t="shared" si="184"/>
        <v>46383</v>
      </c>
      <c r="AD633">
        <f>IF(VLOOKUP(AC633,'FOMC exp '!$C$6:$C$22,1)=AC633,MATCH(AC633,'FOMC exp '!$C$6:$C$22,1),AD632)</f>
        <v>15</v>
      </c>
      <c r="AE633" s="18" cm="1">
        <f t="array" ref="AE633">INDEX('FOMC exp '!$C$6:$D$23,AD633,2)</f>
        <v>4.4999999999999998E-2</v>
      </c>
    </row>
    <row r="634" spans="1:31">
      <c r="A634" t="str">
        <f t="shared" si="178"/>
        <v>Monday</v>
      </c>
      <c r="B634" s="1">
        <f t="shared" si="179"/>
        <v>46384</v>
      </c>
      <c r="C634" s="45">
        <f>IF(LEFT(A634,1)="S","",VLOOKUP(B634,$AC$4:$AE$734,3)-'Quoting term rates'!$C$4)</f>
        <v>4.3299999999999998E-2</v>
      </c>
      <c r="D634">
        <f t="shared" si="180"/>
        <v>1.078710707416439</v>
      </c>
      <c r="E634" s="45">
        <f t="shared" si="188"/>
        <v>4.4977547095108025E-2</v>
      </c>
      <c r="AC634" s="1">
        <f t="shared" si="184"/>
        <v>46384</v>
      </c>
      <c r="AD634">
        <f>IF(VLOOKUP(AC634,'FOMC exp '!$C$6:$C$22,1)=AC634,MATCH(AC634,'FOMC exp '!$C$6:$C$22,1),AD633)</f>
        <v>15</v>
      </c>
      <c r="AE634" s="18" cm="1">
        <f t="array" ref="AE634">INDEX('FOMC exp '!$C$6:$D$23,AD634,2)</f>
        <v>4.4999999999999998E-2</v>
      </c>
    </row>
    <row r="635" spans="1:31">
      <c r="A635" t="str">
        <f t="shared" si="178"/>
        <v>Tuesday</v>
      </c>
      <c r="B635" s="1">
        <f t="shared" si="179"/>
        <v>46385</v>
      </c>
      <c r="C635" s="45">
        <f>IF(LEFT(A635,1)="S","",VLOOKUP(B635,$AC$4:$AE$734,3)-'Quoting term rates'!$C$4)</f>
        <v>4.3299999999999998E-2</v>
      </c>
      <c r="D635">
        <f t="shared" ref="D635:D638" si="190">D634*(1+C634*1/360)</f>
        <v>1.0788404523431923</v>
      </c>
      <c r="E635" s="45">
        <f t="shared" si="188"/>
        <v>4.4980289767906835E-2</v>
      </c>
      <c r="AC635" s="1">
        <f t="shared" si="184"/>
        <v>46385</v>
      </c>
      <c r="AD635">
        <f>IF(VLOOKUP(AC635,'FOMC exp '!$C$6:$C$22,1)=AC635,MATCH(AC635,'FOMC exp '!$C$6:$C$22,1),AD634)</f>
        <v>15</v>
      </c>
      <c r="AE635" s="18" cm="1">
        <f t="array" ref="AE635">INDEX('FOMC exp '!$C$6:$D$23,AD635,2)</f>
        <v>4.4999999999999998E-2</v>
      </c>
    </row>
    <row r="636" spans="1:31">
      <c r="A636" t="str">
        <f t="shared" si="178"/>
        <v>Wednesday</v>
      </c>
      <c r="B636" s="1">
        <f t="shared" si="179"/>
        <v>46386</v>
      </c>
      <c r="C636" s="45">
        <f>IF(LEFT(A636,1)="S","",VLOOKUP(B636,$AC$4:$AE$734,3)-'Quoting term rates'!$C$4)</f>
        <v>4.3299999999999998E-2</v>
      </c>
      <c r="D636">
        <f t="shared" si="190"/>
        <v>1.0789702128753769</v>
      </c>
      <c r="E636" s="45">
        <f t="shared" si="188"/>
        <v>4.4983032650531128E-2</v>
      </c>
      <c r="AC636" s="1">
        <f t="shared" si="184"/>
        <v>46386</v>
      </c>
      <c r="AD636">
        <f>IF(VLOOKUP(AC636,'FOMC exp '!$C$6:$C$22,1)=AC636,MATCH(AC636,'FOMC exp '!$C$6:$C$22,1),AD635)</f>
        <v>15</v>
      </c>
      <c r="AE636" s="18" cm="1">
        <f t="array" ref="AE636">INDEX('FOMC exp '!$C$6:$D$23,AD636,2)</f>
        <v>4.4999999999999998E-2</v>
      </c>
    </row>
    <row r="637" spans="1:31">
      <c r="A637" t="str">
        <f t="shared" si="178"/>
        <v>Thursday</v>
      </c>
      <c r="B637" s="1">
        <f t="shared" si="179"/>
        <v>46387</v>
      </c>
      <c r="C637" s="45">
        <f>IF(LEFT(A637,1)="S","",VLOOKUP(B637,$AC$4:$AE$734,3)-'Quoting term rates'!$C$4)</f>
        <v>4.3299999999999998E-2</v>
      </c>
      <c r="D637">
        <f t="shared" si="190"/>
        <v>1.07909998901487</v>
      </c>
      <c r="E637" s="45">
        <f t="shared" si="188"/>
        <v>4.4985775743054048E-2</v>
      </c>
      <c r="AC637" s="1">
        <f t="shared" si="184"/>
        <v>46387</v>
      </c>
      <c r="AD637">
        <f>IF(VLOOKUP(AC637,'FOMC exp '!$C$6:$C$22,1)=AC637,MATCH(AC637,'FOMC exp '!$C$6:$C$22,1),AD636)</f>
        <v>15</v>
      </c>
      <c r="AE637" s="18" cm="1">
        <f t="array" ref="AE637">INDEX('FOMC exp '!$C$6:$D$23,AD637,2)</f>
        <v>4.4999999999999998E-2</v>
      </c>
    </row>
    <row r="638" spans="1:31">
      <c r="A638" t="str">
        <f t="shared" si="178"/>
        <v>Friday</v>
      </c>
      <c r="B638" s="1">
        <f t="shared" si="179"/>
        <v>46388</v>
      </c>
      <c r="C638" s="45">
        <f>IF(LEFT(A638,1)="S","",VLOOKUP(B638,$AC$4:$AE$734,3)-'Quoting term rates'!$C$4)</f>
        <v>4.3299999999999998E-2</v>
      </c>
      <c r="D638">
        <f t="shared" si="190"/>
        <v>1.0792297807635487</v>
      </c>
      <c r="E638" s="45">
        <f t="shared" si="188"/>
        <v>4.4988519045548153E-2</v>
      </c>
      <c r="AC638" s="1">
        <f t="shared" si="184"/>
        <v>46388</v>
      </c>
      <c r="AD638">
        <f>IF(VLOOKUP(AC638,'FOMC exp '!$C$6:$C$22,1)=AC638,MATCH(AC638,'FOMC exp '!$C$6:$C$22,1),AD637)</f>
        <v>15</v>
      </c>
      <c r="AE638" s="18" cm="1">
        <f t="array" ref="AE638">INDEX('FOMC exp '!$C$6:$D$23,AD638,2)</f>
        <v>4.4999999999999998E-2</v>
      </c>
    </row>
    <row r="639" spans="1:31">
      <c r="A639" t="str">
        <f t="shared" si="178"/>
        <v>Saturday</v>
      </c>
      <c r="B639" s="1">
        <f t="shared" si="179"/>
        <v>46389</v>
      </c>
      <c r="C639" s="45" t="str">
        <f>IF(LEFT(A639,1)="S","",VLOOKUP(B639,$AC$4:$AE$734,3)-'Quoting term rates'!$C$4)</f>
        <v/>
      </c>
      <c r="E639" s="45" t="str">
        <f t="shared" si="188"/>
        <v/>
      </c>
      <c r="AC639" s="1">
        <f t="shared" si="184"/>
        <v>46389</v>
      </c>
      <c r="AD639">
        <f>IF(VLOOKUP(AC639,'FOMC exp '!$C$6:$C$22,1)=AC639,MATCH(AC639,'FOMC exp '!$C$6:$C$22,1),AD638)</f>
        <v>15</v>
      </c>
      <c r="AE639" s="18" cm="1">
        <f t="array" ref="AE639">INDEX('FOMC exp '!$C$6:$D$23,AD639,2)</f>
        <v>4.4999999999999998E-2</v>
      </c>
    </row>
    <row r="640" spans="1:31">
      <c r="A640" t="str">
        <f t="shared" si="178"/>
        <v>Sunday</v>
      </c>
      <c r="B640" s="1">
        <f t="shared" si="179"/>
        <v>46390</v>
      </c>
      <c r="C640" s="45" t="str">
        <f>IF(LEFT(A640,1)="S","",VLOOKUP(B640,$AC$4:$AE$734,3)-'Quoting term rates'!$C$4)</f>
        <v/>
      </c>
      <c r="E640" s="45" t="str">
        <f t="shared" si="188"/>
        <v/>
      </c>
      <c r="AC640" s="1">
        <f t="shared" si="184"/>
        <v>46390</v>
      </c>
      <c r="AD640">
        <f>IF(VLOOKUP(AC640,'FOMC exp '!$C$6:$C$22,1)=AC640,MATCH(AC640,'FOMC exp '!$C$6:$C$22,1),AD639)</f>
        <v>15</v>
      </c>
      <c r="AE640" s="18" cm="1">
        <f t="array" ref="AE640">INDEX('FOMC exp '!$C$6:$D$23,AD640,2)</f>
        <v>4.4999999999999998E-2</v>
      </c>
    </row>
    <row r="641" spans="1:31">
      <c r="A641" t="str">
        <f t="shared" si="178"/>
        <v>Monday</v>
      </c>
      <c r="B641" s="1">
        <f t="shared" si="179"/>
        <v>46391</v>
      </c>
      <c r="C641" s="45">
        <f>IF(LEFT(A641,1)="S","",VLOOKUP(B641,$AC$4:$AE$734,3)-'Quoting term rates'!$C$4)</f>
        <v>4.3299999999999998E-2</v>
      </c>
      <c r="D641">
        <f t="shared" si="180"/>
        <v>1.0796192028427742</v>
      </c>
      <c r="E641" s="45">
        <f t="shared" si="188"/>
        <v>4.4996723741599257E-2</v>
      </c>
      <c r="AC641" s="1">
        <f t="shared" si="184"/>
        <v>46391</v>
      </c>
      <c r="AD641">
        <f>IF(VLOOKUP(AC641,'FOMC exp '!$C$6:$C$22,1)=AC641,MATCH(AC641,'FOMC exp '!$C$6:$C$22,1),AD640)</f>
        <v>15</v>
      </c>
      <c r="AE641" s="18" cm="1">
        <f t="array" ref="AE641">INDEX('FOMC exp '!$C$6:$D$23,AD641,2)</f>
        <v>4.4999999999999998E-2</v>
      </c>
    </row>
    <row r="642" spans="1:31">
      <c r="A642" t="str">
        <f t="shared" si="178"/>
        <v>Tuesday</v>
      </c>
      <c r="B642" s="1">
        <f t="shared" si="179"/>
        <v>46392</v>
      </c>
      <c r="C642" s="45">
        <f>IF(LEFT(A642,1)="S","",VLOOKUP(B642,$AC$4:$AE$734,3)-'Quoting term rates'!$C$4)</f>
        <v>4.3299999999999998E-2</v>
      </c>
      <c r="D642">
        <f t="shared" ref="D642:D645" si="191">D641*(1+C641*1/360)</f>
        <v>1.0797490570413384</v>
      </c>
      <c r="E642" s="45">
        <f t="shared" si="188"/>
        <v>4.4999467923012258E-2</v>
      </c>
      <c r="AC642" s="1">
        <f t="shared" si="184"/>
        <v>46392</v>
      </c>
      <c r="AD642">
        <f>IF(VLOOKUP(AC642,'FOMC exp '!$C$6:$C$22,1)=AC642,MATCH(AC642,'FOMC exp '!$C$6:$C$22,1),AD641)</f>
        <v>15</v>
      </c>
      <c r="AE642" s="18" cm="1">
        <f t="array" ref="AE642">INDEX('FOMC exp '!$C$6:$D$23,AD642,2)</f>
        <v>4.4999999999999998E-2</v>
      </c>
    </row>
    <row r="643" spans="1:31">
      <c r="A643" t="str">
        <f t="shared" si="178"/>
        <v>Wednesday</v>
      </c>
      <c r="B643" s="1">
        <f t="shared" si="179"/>
        <v>46393</v>
      </c>
      <c r="C643" s="45">
        <f>IF(LEFT(A643,1)="S","",VLOOKUP(B643,$AC$4:$AE$734,3)-'Quoting term rates'!$C$4)</f>
        <v>4.3299999999999998E-2</v>
      </c>
      <c r="D643">
        <f t="shared" si="191"/>
        <v>1.079878926858477</v>
      </c>
      <c r="E643" s="45">
        <f t="shared" si="188"/>
        <v>4.5002212314634915E-2</v>
      </c>
      <c r="AC643" s="1">
        <f t="shared" si="184"/>
        <v>46393</v>
      </c>
      <c r="AD643">
        <f>IF(VLOOKUP(AC643,'FOMC exp '!$C$6:$C$22,1)=AC643,MATCH(AC643,'FOMC exp '!$C$6:$C$22,1),AD642)</f>
        <v>15</v>
      </c>
      <c r="AE643" s="18" cm="1">
        <f t="array" ref="AE643">INDEX('FOMC exp '!$C$6:$D$23,AD643,2)</f>
        <v>4.4999999999999998E-2</v>
      </c>
    </row>
    <row r="644" spans="1:31">
      <c r="A644" t="str">
        <f t="shared" si="178"/>
        <v>Thursday</v>
      </c>
      <c r="B644" s="1">
        <f t="shared" si="179"/>
        <v>46394</v>
      </c>
      <c r="C644" s="45">
        <f>IF(LEFT(A644,1)="S","",VLOOKUP(B644,$AC$4:$AE$734,3)-'Quoting term rates'!$C$4)</f>
        <v>4.3299999999999998E-2</v>
      </c>
      <c r="D644">
        <f t="shared" si="191"/>
        <v>1.0800088122960685</v>
      </c>
      <c r="E644" s="45">
        <f t="shared" si="188"/>
        <v>4.5004956916538524E-2</v>
      </c>
      <c r="AC644" s="1">
        <f t="shared" si="184"/>
        <v>46394</v>
      </c>
      <c r="AD644">
        <f>IF(VLOOKUP(AC644,'FOMC exp '!$C$6:$C$22,1)=AC644,MATCH(AC644,'FOMC exp '!$C$6:$C$22,1),AD643)</f>
        <v>15</v>
      </c>
      <c r="AE644" s="18" cm="1">
        <f t="array" ref="AE644">INDEX('FOMC exp '!$C$6:$D$23,AD644,2)</f>
        <v>4.4999999999999998E-2</v>
      </c>
    </row>
    <row r="645" spans="1:31">
      <c r="A645" t="str">
        <f t="shared" ref="A645:A708" si="192">VLOOKUP(WEEKDAY(B645,2),$Z$2:$AA$8,2)</f>
        <v>Friday</v>
      </c>
      <c r="B645" s="1">
        <f t="shared" si="179"/>
        <v>46395</v>
      </c>
      <c r="C645" s="45">
        <f>IF(LEFT(A645,1)="S","",VLOOKUP(B645,$AC$4:$AE$734,3)-'Quoting term rates'!$C$4)</f>
        <v>4.3299999999999998E-2</v>
      </c>
      <c r="D645">
        <f t="shared" si="191"/>
        <v>1.0801387133559919</v>
      </c>
      <c r="E645" s="45">
        <f t="shared" si="188"/>
        <v>4.5007701728794189E-2</v>
      </c>
      <c r="AC645" s="1">
        <f t="shared" si="184"/>
        <v>46395</v>
      </c>
      <c r="AD645">
        <f>IF(VLOOKUP(AC645,'FOMC exp '!$C$6:$C$22,1)=AC645,MATCH(AC645,'FOMC exp '!$C$6:$C$22,1),AD644)</f>
        <v>15</v>
      </c>
      <c r="AE645" s="18" cm="1">
        <f t="array" ref="AE645">INDEX('FOMC exp '!$C$6:$D$23,AD645,2)</f>
        <v>4.4999999999999998E-2</v>
      </c>
    </row>
    <row r="646" spans="1:31">
      <c r="A646" t="str">
        <f t="shared" si="192"/>
        <v>Saturday</v>
      </c>
      <c r="B646" s="1">
        <f t="shared" ref="B646:B709" si="193">B645+1</f>
        <v>46396</v>
      </c>
      <c r="C646" s="45" t="str">
        <f>IF(LEFT(A646,1)="S","",VLOOKUP(B646,$AC$4:$AE$734,3)-'Quoting term rates'!$C$4)</f>
        <v/>
      </c>
      <c r="E646" s="45" t="str">
        <f t="shared" si="188"/>
        <v/>
      </c>
      <c r="AC646" s="1">
        <f t="shared" si="184"/>
        <v>46396</v>
      </c>
      <c r="AD646">
        <f>IF(VLOOKUP(AC646,'FOMC exp '!$C$6:$C$22,1)=AC646,MATCH(AC646,'FOMC exp '!$C$6:$C$22,1),AD645)</f>
        <v>15</v>
      </c>
      <c r="AE646" s="18" cm="1">
        <f t="array" ref="AE646">INDEX('FOMC exp '!$C$6:$D$23,AD646,2)</f>
        <v>4.4999999999999998E-2</v>
      </c>
    </row>
    <row r="647" spans="1:31">
      <c r="A647" t="str">
        <f t="shared" si="192"/>
        <v>Sunday</v>
      </c>
      <c r="B647" s="1">
        <f t="shared" si="193"/>
        <v>46397</v>
      </c>
      <c r="C647" s="45" t="str">
        <f>IF(LEFT(A647,1)="S","",VLOOKUP(B647,$AC$4:$AE$734,3)-'Quoting term rates'!$C$4)</f>
        <v/>
      </c>
      <c r="E647" s="45" t="str">
        <f t="shared" si="188"/>
        <v/>
      </c>
      <c r="AC647" s="1">
        <f t="shared" si="184"/>
        <v>46397</v>
      </c>
      <c r="AD647">
        <f>IF(VLOOKUP(AC647,'FOMC exp '!$C$6:$C$22,1)=AC647,MATCH(AC647,'FOMC exp '!$C$6:$C$22,1),AD646)</f>
        <v>15</v>
      </c>
      <c r="AE647" s="18" cm="1">
        <f t="array" ref="AE647">INDEX('FOMC exp '!$C$6:$D$23,AD647,2)</f>
        <v>4.4999999999999998E-2</v>
      </c>
    </row>
    <row r="648" spans="1:31">
      <c r="A648" t="str">
        <f t="shared" si="192"/>
        <v>Monday</v>
      </c>
      <c r="B648" s="1">
        <f t="shared" si="193"/>
        <v>46398</v>
      </c>
      <c r="C648" s="45">
        <f>IF(LEFT(A648,1)="S","",VLOOKUP(B648,$AC$4:$AE$734,3)-'Quoting term rates'!$C$4)</f>
        <v>4.3299999999999998E-2</v>
      </c>
      <c r="D648">
        <f t="shared" si="180"/>
        <v>1.0805284634083945</v>
      </c>
      <c r="E648" s="45">
        <f t="shared" si="188"/>
        <v>4.5015911222083871E-2</v>
      </c>
      <c r="AC648" s="1">
        <f t="shared" si="184"/>
        <v>46398</v>
      </c>
      <c r="AD648">
        <f>IF(VLOOKUP(AC648,'FOMC exp '!$C$6:$C$22,1)=AC648,MATCH(AC648,'FOMC exp '!$C$6:$C$22,1),AD647)</f>
        <v>15</v>
      </c>
      <c r="AE648" s="18" cm="1">
        <f t="array" ref="AE648">INDEX('FOMC exp '!$C$6:$D$23,AD648,2)</f>
        <v>4.4999999999999998E-2</v>
      </c>
    </row>
    <row r="649" spans="1:31">
      <c r="A649" t="str">
        <f t="shared" si="192"/>
        <v>Tuesday</v>
      </c>
      <c r="B649" s="1">
        <f t="shared" si="193"/>
        <v>46399</v>
      </c>
      <c r="C649" s="45">
        <f>IF(LEFT(A649,1)="S","",VLOOKUP(B649,$AC$4:$AE$734,3)-'Quoting term rates'!$C$4)</f>
        <v>4.3299999999999998E-2</v>
      </c>
      <c r="D649">
        <f t="shared" ref="D649:D652" si="194">D648*(1+C648*1/360)</f>
        <v>1.0806584269707988</v>
      </c>
      <c r="E649" s="45">
        <f t="shared" si="188"/>
        <v>4.5018656913934231E-2</v>
      </c>
      <c r="AC649" s="1">
        <f t="shared" si="184"/>
        <v>46399</v>
      </c>
      <c r="AD649">
        <f>IF(VLOOKUP(AC649,'FOMC exp '!$C$6:$C$22,1)=AC649,MATCH(AC649,'FOMC exp '!$C$6:$C$22,1),AD648)</f>
        <v>15</v>
      </c>
      <c r="AE649" s="18" cm="1">
        <f t="array" ref="AE649">INDEX('FOMC exp '!$C$6:$D$23,AD649,2)</f>
        <v>4.4999999999999998E-2</v>
      </c>
    </row>
    <row r="650" spans="1:31">
      <c r="A650" t="str">
        <f t="shared" si="192"/>
        <v>Wednesday</v>
      </c>
      <c r="B650" s="1">
        <f t="shared" si="193"/>
        <v>46400</v>
      </c>
      <c r="C650" s="45">
        <f>IF(LEFT(A650,1)="S","",VLOOKUP(B650,$AC$4:$AE$734,3)-'Quoting term rates'!$C$4)</f>
        <v>4.3299999999999998E-2</v>
      </c>
      <c r="D650">
        <f t="shared" si="194"/>
        <v>1.0807884061649318</v>
      </c>
      <c r="E650" s="45">
        <f t="shared" si="188"/>
        <v>4.5021402816370647E-2</v>
      </c>
      <c r="AC650" s="1">
        <f t="shared" si="184"/>
        <v>46400</v>
      </c>
      <c r="AD650">
        <f>IF(VLOOKUP(AC650,'FOMC exp '!$C$6:$C$22,1)=AC650,MATCH(AC650,'FOMC exp '!$C$6:$C$22,1),AD649)</f>
        <v>15</v>
      </c>
      <c r="AE650" s="18" cm="1">
        <f t="array" ref="AE650">INDEX('FOMC exp '!$C$6:$D$23,AD650,2)</f>
        <v>4.4999999999999998E-2</v>
      </c>
    </row>
    <row r="651" spans="1:31">
      <c r="A651" t="str">
        <f t="shared" si="192"/>
        <v>Thursday</v>
      </c>
      <c r="B651" s="1">
        <f t="shared" si="193"/>
        <v>46401</v>
      </c>
      <c r="C651" s="45">
        <f>IF(LEFT(A651,1)="S","",VLOOKUP(B651,$AC$4:$AE$734,3)-'Quoting term rates'!$C$4)</f>
        <v>4.3299999999999998E-2</v>
      </c>
      <c r="D651">
        <f t="shared" si="194"/>
        <v>1.0809184009926733</v>
      </c>
      <c r="E651" s="45">
        <f t="shared" si="188"/>
        <v>4.502414892946275E-2</v>
      </c>
      <c r="AC651" s="1">
        <f t="shared" si="184"/>
        <v>46401</v>
      </c>
      <c r="AD651">
        <f>IF(VLOOKUP(AC651,'FOMC exp '!$C$6:$C$22,1)=AC651,MATCH(AC651,'FOMC exp '!$C$6:$C$22,1),AD650)</f>
        <v>15</v>
      </c>
      <c r="AE651" s="18" cm="1">
        <f t="array" ref="AE651">INDEX('FOMC exp '!$C$6:$D$23,AD651,2)</f>
        <v>4.4999999999999998E-2</v>
      </c>
    </row>
    <row r="652" spans="1:31">
      <c r="A652" t="str">
        <f t="shared" si="192"/>
        <v>Friday</v>
      </c>
      <c r="B652" s="1">
        <f t="shared" si="193"/>
        <v>46402</v>
      </c>
      <c r="C652" s="45">
        <f>IF(LEFT(A652,1)="S","",VLOOKUP(B652,$AC$4:$AE$734,3)-'Quoting term rates'!$C$4)</f>
        <v>4.3299999999999998E-2</v>
      </c>
      <c r="D652">
        <f t="shared" si="194"/>
        <v>1.0810484114559038</v>
      </c>
      <c r="E652" s="45">
        <f t="shared" si="188"/>
        <v>4.5026895253279894E-2</v>
      </c>
      <c r="AC652" s="1">
        <f t="shared" si="184"/>
        <v>46402</v>
      </c>
      <c r="AD652">
        <f>IF(VLOOKUP(AC652,'FOMC exp '!$C$6:$C$22,1)=AC652,MATCH(AC652,'FOMC exp '!$C$6:$C$22,1),AD651)</f>
        <v>15</v>
      </c>
      <c r="AE652" s="18" cm="1">
        <f t="array" ref="AE652">INDEX('FOMC exp '!$C$6:$D$23,AD652,2)</f>
        <v>4.4999999999999998E-2</v>
      </c>
    </row>
    <row r="653" spans="1:31">
      <c r="A653" t="str">
        <f t="shared" si="192"/>
        <v>Saturday</v>
      </c>
      <c r="B653" s="1">
        <f t="shared" si="193"/>
        <v>46403</v>
      </c>
      <c r="C653" s="45" t="str">
        <f>IF(LEFT(A653,1)="S","",VLOOKUP(B653,$AC$4:$AE$734,3)-'Quoting term rates'!$C$4)</f>
        <v/>
      </c>
      <c r="E653" s="45" t="str">
        <f t="shared" si="188"/>
        <v/>
      </c>
      <c r="AC653" s="1">
        <f t="shared" si="184"/>
        <v>46403</v>
      </c>
      <c r="AD653">
        <f>IF(VLOOKUP(AC653,'FOMC exp '!$C$6:$C$22,1)=AC653,MATCH(AC653,'FOMC exp '!$C$6:$C$22,1),AD652)</f>
        <v>15</v>
      </c>
      <c r="AE653" s="18" cm="1">
        <f t="array" ref="AE653">INDEX('FOMC exp '!$C$6:$D$23,AD653,2)</f>
        <v>4.4999999999999998E-2</v>
      </c>
    </row>
    <row r="654" spans="1:31">
      <c r="A654" t="str">
        <f t="shared" si="192"/>
        <v>Sunday</v>
      </c>
      <c r="B654" s="1">
        <f t="shared" si="193"/>
        <v>46404</v>
      </c>
      <c r="C654" s="45" t="str">
        <f>IF(LEFT(A654,1)="S","",VLOOKUP(B654,$AC$4:$AE$734,3)-'Quoting term rates'!$C$4)</f>
        <v/>
      </c>
      <c r="E654" s="45" t="str">
        <f t="shared" si="188"/>
        <v/>
      </c>
      <c r="AC654" s="1">
        <f t="shared" si="184"/>
        <v>46404</v>
      </c>
      <c r="AD654">
        <f>IF(VLOOKUP(AC654,'FOMC exp '!$C$6:$C$22,1)=AC654,MATCH(AC654,'FOMC exp '!$C$6:$C$22,1),AD653)</f>
        <v>15</v>
      </c>
      <c r="AE654" s="18" cm="1">
        <f t="array" ref="AE654">INDEX('FOMC exp '!$C$6:$D$23,AD654,2)</f>
        <v>4.4999999999999998E-2</v>
      </c>
    </row>
    <row r="655" spans="1:31">
      <c r="A655" t="str">
        <f t="shared" si="192"/>
        <v>Monday</v>
      </c>
      <c r="B655" s="1">
        <f t="shared" si="193"/>
        <v>46405</v>
      </c>
      <c r="C655" s="45">
        <f>IF(LEFT(A655,1)="S","",VLOOKUP(B655,$AC$4:$AE$734,3)-'Quoting term rates'!$C$4)</f>
        <v>4.3299999999999998E-2</v>
      </c>
      <c r="D655">
        <f t="shared" ref="D655:D718" si="195">D652*(1+C652*3/360)</f>
        <v>1.0814384897577041</v>
      </c>
      <c r="E655" s="45">
        <f t="shared" si="188"/>
        <v>4.5035109543430825E-2</v>
      </c>
      <c r="AC655" s="1">
        <f t="shared" si="184"/>
        <v>46405</v>
      </c>
      <c r="AD655">
        <f>IF(VLOOKUP(AC655,'FOMC exp '!$C$6:$C$22,1)=AC655,MATCH(AC655,'FOMC exp '!$C$6:$C$22,1),AD654)</f>
        <v>15</v>
      </c>
      <c r="AE655" s="18" cm="1">
        <f t="array" ref="AE655">INDEX('FOMC exp '!$C$6:$D$23,AD655,2)</f>
        <v>4.4999999999999998E-2</v>
      </c>
    </row>
    <row r="656" spans="1:31">
      <c r="A656" t="str">
        <f t="shared" si="192"/>
        <v>Tuesday</v>
      </c>
      <c r="B656" s="1">
        <f t="shared" si="193"/>
        <v>46406</v>
      </c>
      <c r="C656" s="45">
        <f>IF(LEFT(A656,1)="S","",VLOOKUP(B656,$AC$4:$AE$734,3)-'Quoting term rates'!$C$4)</f>
        <v>4.3299999999999998E-2</v>
      </c>
      <c r="D656">
        <f t="shared" ref="D656:D659" si="196">D655*(1+C655*1/360)</f>
        <v>1.0815685627760554</v>
      </c>
      <c r="E656" s="45">
        <f t="shared" si="188"/>
        <v>4.5037856747515252E-2</v>
      </c>
      <c r="AC656" s="1">
        <f t="shared" si="184"/>
        <v>46406</v>
      </c>
      <c r="AD656">
        <f>IF(VLOOKUP(AC656,'FOMC exp '!$C$6:$C$22,1)=AC656,MATCH(AC656,'FOMC exp '!$C$6:$C$22,1),AD655)</f>
        <v>15</v>
      </c>
      <c r="AE656" s="18" cm="1">
        <f t="array" ref="AE656">INDEX('FOMC exp '!$C$6:$D$23,AD656,2)</f>
        <v>4.4999999999999998E-2</v>
      </c>
    </row>
    <row r="657" spans="1:31">
      <c r="A657" t="str">
        <f t="shared" si="192"/>
        <v>Wednesday</v>
      </c>
      <c r="B657" s="1">
        <f t="shared" si="193"/>
        <v>46407</v>
      </c>
      <c r="C657" s="45">
        <f>IF(LEFT(A657,1)="S","",VLOOKUP(B657,$AC$4:$AE$734,3)-'Quoting term rates'!$C$4)</f>
        <v>4.3299999999999998E-2</v>
      </c>
      <c r="D657">
        <f t="shared" si="196"/>
        <v>1.0816986514393003</v>
      </c>
      <c r="E657" s="45">
        <f t="shared" si="188"/>
        <v>4.5040604162554544E-2</v>
      </c>
      <c r="AC657" s="1">
        <f t="shared" si="184"/>
        <v>46407</v>
      </c>
      <c r="AD657">
        <f>IF(VLOOKUP(AC657,'FOMC exp '!$C$6:$C$22,1)=AC657,MATCH(AC657,'FOMC exp '!$C$6:$C$22,1),AD656)</f>
        <v>15</v>
      </c>
      <c r="AE657" s="18" cm="1">
        <f t="array" ref="AE657">INDEX('FOMC exp '!$C$6:$D$23,AD657,2)</f>
        <v>4.4999999999999998E-2</v>
      </c>
    </row>
    <row r="658" spans="1:31">
      <c r="A658" t="str">
        <f t="shared" si="192"/>
        <v>Thursday</v>
      </c>
      <c r="B658" s="1">
        <f t="shared" si="193"/>
        <v>46408</v>
      </c>
      <c r="C658" s="45">
        <f>IF(LEFT(A658,1)="S","",VLOOKUP(B658,$AC$4:$AE$734,3)-'Quoting term rates'!$C$4)</f>
        <v>4.3299999999999998E-2</v>
      </c>
      <c r="D658">
        <f t="shared" si="196"/>
        <v>1.0818287557493207</v>
      </c>
      <c r="E658" s="45">
        <f t="shared" si="188"/>
        <v>4.5043351788616896E-2</v>
      </c>
      <c r="AC658" s="1">
        <f t="shared" si="184"/>
        <v>46408</v>
      </c>
      <c r="AD658">
        <f>IF(VLOOKUP(AC658,'FOMC exp '!$C$6:$C$22,1)=AC658,MATCH(AC658,'FOMC exp '!$C$6:$C$22,1),AD657)</f>
        <v>15</v>
      </c>
      <c r="AE658" s="18" cm="1">
        <f t="array" ref="AE658">INDEX('FOMC exp '!$C$6:$D$23,AD658,2)</f>
        <v>4.4999999999999998E-2</v>
      </c>
    </row>
    <row r="659" spans="1:31">
      <c r="A659" t="str">
        <f t="shared" si="192"/>
        <v>Friday</v>
      </c>
      <c r="B659" s="1">
        <f t="shared" si="193"/>
        <v>46409</v>
      </c>
      <c r="C659" s="45">
        <f>IF(LEFT(A659,1)="S","",VLOOKUP(B659,$AC$4:$AE$734,3)-'Quoting term rates'!$C$4)</f>
        <v>4.3299999999999998E-2</v>
      </c>
      <c r="D659">
        <f t="shared" si="196"/>
        <v>1.0819588757079983</v>
      </c>
      <c r="E659" s="45">
        <f t="shared" si="188"/>
        <v>4.5046099625770067E-2</v>
      </c>
      <c r="AC659" s="1">
        <f t="shared" si="184"/>
        <v>46409</v>
      </c>
      <c r="AD659">
        <f>IF(VLOOKUP(AC659,'FOMC exp '!$C$6:$C$22,1)=AC659,MATCH(AC659,'FOMC exp '!$C$6:$C$22,1),AD658)</f>
        <v>15</v>
      </c>
      <c r="AE659" s="18" cm="1">
        <f t="array" ref="AE659">INDEX('FOMC exp '!$C$6:$D$23,AD659,2)</f>
        <v>4.4999999999999998E-2</v>
      </c>
    </row>
    <row r="660" spans="1:31">
      <c r="A660" t="str">
        <f t="shared" si="192"/>
        <v>Saturday</v>
      </c>
      <c r="B660" s="1">
        <f t="shared" si="193"/>
        <v>46410</v>
      </c>
      <c r="C660" s="45" t="str">
        <f>IF(LEFT(A660,1)="S","",VLOOKUP(B660,$AC$4:$AE$734,3)-'Quoting term rates'!$C$4)</f>
        <v/>
      </c>
      <c r="E660" s="45" t="str">
        <f t="shared" si="188"/>
        <v/>
      </c>
      <c r="AC660" s="1">
        <f t="shared" si="184"/>
        <v>46410</v>
      </c>
      <c r="AD660">
        <f>IF(VLOOKUP(AC660,'FOMC exp '!$C$6:$C$22,1)=AC660,MATCH(AC660,'FOMC exp '!$C$6:$C$22,1),AD659)</f>
        <v>15</v>
      </c>
      <c r="AE660" s="18" cm="1">
        <f t="array" ref="AE660">INDEX('FOMC exp '!$C$6:$D$23,AD660,2)</f>
        <v>4.4999999999999998E-2</v>
      </c>
    </row>
    <row r="661" spans="1:31">
      <c r="A661" t="str">
        <f t="shared" si="192"/>
        <v>Sunday</v>
      </c>
      <c r="B661" s="1">
        <f t="shared" si="193"/>
        <v>46411</v>
      </c>
      <c r="C661" s="45" t="str">
        <f>IF(LEFT(A661,1)="S","",VLOOKUP(B661,$AC$4:$AE$734,3)-'Quoting term rates'!$C$4)</f>
        <v/>
      </c>
      <c r="E661" s="45" t="str">
        <f t="shared" si="188"/>
        <v/>
      </c>
      <c r="AC661" s="1">
        <f t="shared" si="184"/>
        <v>46411</v>
      </c>
      <c r="AD661">
        <f>IF(VLOOKUP(AC661,'FOMC exp '!$C$6:$C$22,1)=AC661,MATCH(AC661,'FOMC exp '!$C$6:$C$22,1),AD660)</f>
        <v>15</v>
      </c>
      <c r="AE661" s="18" cm="1">
        <f t="array" ref="AE661">INDEX('FOMC exp '!$C$6:$D$23,AD661,2)</f>
        <v>4.4999999999999998E-2</v>
      </c>
    </row>
    <row r="662" spans="1:31">
      <c r="A662" t="str">
        <f t="shared" si="192"/>
        <v>Monday</v>
      </c>
      <c r="B662" s="1">
        <f t="shared" si="193"/>
        <v>46412</v>
      </c>
      <c r="C662" s="45">
        <f>IF(LEFT(A662,1)="S","",VLOOKUP(B662,$AC$4:$AE$734,3)-'Quoting term rates'!$C$4)</f>
        <v>4.3299999999999998E-2</v>
      </c>
      <c r="D662">
        <f t="shared" si="195"/>
        <v>1.0823492825356495</v>
      </c>
      <c r="E662" s="45">
        <f t="shared" si="188"/>
        <v>4.5054318712513433E-2</v>
      </c>
      <c r="AC662" s="1">
        <f t="shared" si="184"/>
        <v>46412</v>
      </c>
      <c r="AD662">
        <f>IF(VLOOKUP(AC662,'FOMC exp '!$C$6:$C$22,1)=AC662,MATCH(AC662,'FOMC exp '!$C$6:$C$22,1),AD661)</f>
        <v>15</v>
      </c>
      <c r="AE662" s="18" cm="1">
        <f t="array" ref="AE662">INDEX('FOMC exp '!$C$6:$D$23,AD662,2)</f>
        <v>4.4999999999999998E-2</v>
      </c>
    </row>
    <row r="663" spans="1:31">
      <c r="A663" t="str">
        <f t="shared" si="192"/>
        <v>Tuesday</v>
      </c>
      <c r="B663" s="1">
        <f t="shared" si="193"/>
        <v>46413</v>
      </c>
      <c r="C663" s="45">
        <f>IF(LEFT(A663,1)="S","",VLOOKUP(B663,$AC$4:$AE$734,3)-'Quoting term rates'!$C$4)</f>
        <v>4.3299999999999998E-2</v>
      </c>
      <c r="D663">
        <f t="shared" ref="D663:D666" si="197">D662*(1+C662*1/360)</f>
        <v>1.0824794651021323</v>
      </c>
      <c r="E663" s="45">
        <f t="shared" si="188"/>
        <v>4.5057067430603392E-2</v>
      </c>
      <c r="AC663" s="1">
        <f t="shared" si="184"/>
        <v>46413</v>
      </c>
      <c r="AD663">
        <f>IF(VLOOKUP(AC663,'FOMC exp '!$C$6:$C$22,1)=AC663,MATCH(AC663,'FOMC exp '!$C$6:$C$22,1),AD662)</f>
        <v>15</v>
      </c>
      <c r="AE663" s="18" cm="1">
        <f t="array" ref="AE663">INDEX('FOMC exp '!$C$6:$D$23,AD663,2)</f>
        <v>4.4999999999999998E-2</v>
      </c>
    </row>
    <row r="664" spans="1:31">
      <c r="A664" t="str">
        <f t="shared" si="192"/>
        <v>Wednesday</v>
      </c>
      <c r="B664" s="1">
        <f t="shared" si="193"/>
        <v>46414</v>
      </c>
      <c r="C664" s="45">
        <f>IF(LEFT(A664,1)="S","",VLOOKUP(B664,$AC$4:$AE$734,3)-'Quoting term rates'!$C$4)</f>
        <v>4.3299999999999998E-2</v>
      </c>
      <c r="D664">
        <f t="shared" si="197"/>
        <v>1.0826096633266848</v>
      </c>
      <c r="E664" s="45">
        <f t="shared" si="188"/>
        <v>4.5059816360009913E-2</v>
      </c>
      <c r="AC664" s="1">
        <f t="shared" ref="AC664:AC727" si="198">B664</f>
        <v>46414</v>
      </c>
      <c r="AD664">
        <f>IF(VLOOKUP(AC664,'FOMC exp '!$C$6:$C$22,1)=AC664,MATCH(AC664,'FOMC exp '!$C$6:$C$22,1),AD663)</f>
        <v>15</v>
      </c>
      <c r="AE664" s="18" cm="1">
        <f t="array" ref="AE664">INDEX('FOMC exp '!$C$6:$D$23,AD664,2)</f>
        <v>4.4999999999999998E-2</v>
      </c>
    </row>
    <row r="665" spans="1:31">
      <c r="A665" t="str">
        <f t="shared" si="192"/>
        <v>Thursday</v>
      </c>
      <c r="B665" s="1">
        <f t="shared" si="193"/>
        <v>46415</v>
      </c>
      <c r="C665" s="45">
        <f>IF(LEFT(A665,1)="S","",VLOOKUP(B665,$AC$4:$AE$734,3)-'Quoting term rates'!$C$4)</f>
        <v>4.3299999999999998E-2</v>
      </c>
      <c r="D665">
        <f t="shared" si="197"/>
        <v>1.0827398772111905</v>
      </c>
      <c r="E665" s="45">
        <f t="shared" si="188"/>
        <v>4.5062565500799651E-2</v>
      </c>
      <c r="AC665" s="1">
        <f t="shared" si="198"/>
        <v>46415</v>
      </c>
      <c r="AD665">
        <f>IF(VLOOKUP(AC665,'FOMC exp '!$C$6:$C$22,1)=AC665,MATCH(AC665,'FOMC exp '!$C$6:$C$22,1),AD664)</f>
        <v>15</v>
      </c>
      <c r="AE665" s="18" cm="1">
        <f t="array" ref="AE665">INDEX('FOMC exp '!$C$6:$D$23,AD665,2)</f>
        <v>4.4999999999999998E-2</v>
      </c>
    </row>
    <row r="666" spans="1:31">
      <c r="A666" t="str">
        <f t="shared" si="192"/>
        <v>Friday</v>
      </c>
      <c r="B666" s="1">
        <f t="shared" si="193"/>
        <v>46416</v>
      </c>
      <c r="C666" s="45">
        <f>IF(LEFT(A666,1)="S","",VLOOKUP(B666,$AC$4:$AE$734,3)-'Quoting term rates'!$C$4)</f>
        <v>4.3299999999999998E-2</v>
      </c>
      <c r="D666">
        <f t="shared" si="197"/>
        <v>1.0828701067575328</v>
      </c>
      <c r="E666" s="45">
        <f t="shared" si="188"/>
        <v>4.5065314853038989E-2</v>
      </c>
      <c r="AC666" s="1">
        <f t="shared" si="198"/>
        <v>46416</v>
      </c>
      <c r="AD666">
        <f>IF(VLOOKUP(AC666,'FOMC exp '!$C$6:$C$22,1)=AC666,MATCH(AC666,'FOMC exp '!$C$6:$C$22,1),AD665)</f>
        <v>16</v>
      </c>
      <c r="AE666" s="18" cm="1">
        <f t="array" ref="AE666">INDEX('FOMC exp '!$C$6:$D$23,AD666,2)</f>
        <v>4.4999999999999998E-2</v>
      </c>
    </row>
    <row r="667" spans="1:31">
      <c r="A667" t="str">
        <f t="shared" si="192"/>
        <v>Saturday</v>
      </c>
      <c r="B667" s="1">
        <f t="shared" si="193"/>
        <v>46417</v>
      </c>
      <c r="C667" s="45" t="str">
        <f>IF(LEFT(A667,1)="S","",VLOOKUP(B667,$AC$4:$AE$734,3)-'Quoting term rates'!$C$4)</f>
        <v/>
      </c>
      <c r="E667" s="45" t="str">
        <f t="shared" si="188"/>
        <v/>
      </c>
      <c r="AC667" s="1">
        <f t="shared" si="198"/>
        <v>46417</v>
      </c>
      <c r="AD667">
        <f>IF(VLOOKUP(AC667,'FOMC exp '!$C$6:$C$22,1)=AC667,MATCH(AC667,'FOMC exp '!$C$6:$C$22,1),AD666)</f>
        <v>16</v>
      </c>
      <c r="AE667" s="18" cm="1">
        <f t="array" ref="AE667">INDEX('FOMC exp '!$C$6:$D$23,AD667,2)</f>
        <v>4.4999999999999998E-2</v>
      </c>
    </row>
    <row r="668" spans="1:31">
      <c r="A668" t="str">
        <f t="shared" si="192"/>
        <v>Sunday</v>
      </c>
      <c r="B668" s="1">
        <f t="shared" si="193"/>
        <v>46418</v>
      </c>
      <c r="C668" s="45" t="str">
        <f>IF(LEFT(A668,1)="S","",VLOOKUP(B668,$AC$4:$AE$734,3)-'Quoting term rates'!$C$4)</f>
        <v/>
      </c>
      <c r="E668" s="45" t="str">
        <f t="shared" si="188"/>
        <v/>
      </c>
      <c r="AC668" s="1">
        <f t="shared" si="198"/>
        <v>46418</v>
      </c>
      <c r="AD668">
        <f>IF(VLOOKUP(AC668,'FOMC exp '!$C$6:$C$22,1)=AC668,MATCH(AC668,'FOMC exp '!$C$6:$C$22,1),AD667)</f>
        <v>16</v>
      </c>
      <c r="AE668" s="18" cm="1">
        <f t="array" ref="AE668">INDEX('FOMC exp '!$C$6:$D$23,AD668,2)</f>
        <v>4.4999999999999998E-2</v>
      </c>
    </row>
    <row r="669" spans="1:31">
      <c r="A669" t="str">
        <f t="shared" si="192"/>
        <v>Monday</v>
      </c>
      <c r="B669" s="1">
        <f t="shared" si="193"/>
        <v>46419</v>
      </c>
      <c r="C669" s="45">
        <f>IF(LEFT(A669,1)="S","",VLOOKUP(B669,$AC$4:$AE$734,3)-'Quoting term rates'!$C$4)</f>
        <v>4.3299999999999998E-2</v>
      </c>
      <c r="D669">
        <f t="shared" si="195"/>
        <v>1.0832608423877212</v>
      </c>
      <c r="E669" s="45">
        <f t="shared" si="188"/>
        <v>4.5073538736209999E-2</v>
      </c>
      <c r="AC669" s="1">
        <f t="shared" si="198"/>
        <v>46419</v>
      </c>
      <c r="AD669">
        <f>IF(VLOOKUP(AC669,'FOMC exp '!$C$6:$C$22,1)=AC669,MATCH(AC669,'FOMC exp '!$C$6:$C$22,1),AD668)</f>
        <v>16</v>
      </c>
      <c r="AE669" s="18" cm="1">
        <f t="array" ref="AE669">INDEX('FOMC exp '!$C$6:$D$23,AD669,2)</f>
        <v>4.4999999999999998E-2</v>
      </c>
    </row>
    <row r="670" spans="1:31">
      <c r="A670" t="str">
        <f t="shared" si="192"/>
        <v>Tuesday</v>
      </c>
      <c r="B670" s="1">
        <f t="shared" si="193"/>
        <v>46420</v>
      </c>
      <c r="C670" s="45">
        <f>IF(LEFT(A670,1)="S","",VLOOKUP(B670,$AC$4:$AE$734,3)-'Quoting term rates'!$C$4)</f>
        <v>4.3299999999999998E-2</v>
      </c>
      <c r="D670">
        <f t="shared" ref="D670:D673" si="199">D669*(1+C669*1/360)</f>
        <v>1.0833911345945972</v>
      </c>
      <c r="E670" s="45">
        <f t="shared" si="188"/>
        <v>4.5076288970052565E-2</v>
      </c>
      <c r="AC670" s="1">
        <f t="shared" si="198"/>
        <v>46420</v>
      </c>
      <c r="AD670">
        <f>IF(VLOOKUP(AC670,'FOMC exp '!$C$6:$C$22,1)=AC670,MATCH(AC670,'FOMC exp '!$C$6:$C$22,1),AD669)</f>
        <v>16</v>
      </c>
      <c r="AE670" s="18" cm="1">
        <f t="array" ref="AE670">INDEX('FOMC exp '!$C$6:$D$23,AD670,2)</f>
        <v>4.4999999999999998E-2</v>
      </c>
    </row>
    <row r="671" spans="1:31">
      <c r="A671" t="str">
        <f t="shared" si="192"/>
        <v>Wednesday</v>
      </c>
      <c r="B671" s="1">
        <f t="shared" si="193"/>
        <v>46421</v>
      </c>
      <c r="C671" s="45">
        <f>IF(LEFT(A671,1)="S","",VLOOKUP(B671,$AC$4:$AE$734,3)-'Quoting term rates'!$C$4)</f>
        <v>4.3299999999999998E-2</v>
      </c>
      <c r="D671">
        <f t="shared" si="199"/>
        <v>1.0835214424727304</v>
      </c>
      <c r="E671" s="45">
        <f t="shared" si="188"/>
        <v>4.5079039415566645E-2</v>
      </c>
      <c r="AC671" s="1">
        <f t="shared" si="198"/>
        <v>46421</v>
      </c>
      <c r="AD671">
        <f>IF(VLOOKUP(AC671,'FOMC exp '!$C$6:$C$22,1)=AC671,MATCH(AC671,'FOMC exp '!$C$6:$C$22,1),AD670)</f>
        <v>16</v>
      </c>
      <c r="AE671" s="18" cm="1">
        <f t="array" ref="AE671">INDEX('FOMC exp '!$C$6:$D$23,AD671,2)</f>
        <v>4.4999999999999998E-2</v>
      </c>
    </row>
    <row r="672" spans="1:31">
      <c r="A672" t="str">
        <f t="shared" si="192"/>
        <v>Thursday</v>
      </c>
      <c r="B672" s="1">
        <f t="shared" si="193"/>
        <v>46422</v>
      </c>
      <c r="C672" s="45">
        <f>IF(LEFT(A672,1)="S","",VLOOKUP(B672,$AC$4:$AE$734,3)-'Quoting term rates'!$C$4)</f>
        <v>4.3299999999999998E-2</v>
      </c>
      <c r="D672">
        <f t="shared" si="199"/>
        <v>1.0836517660240057</v>
      </c>
      <c r="E672" s="45">
        <f t="shared" si="188"/>
        <v>4.5081790072817443E-2</v>
      </c>
      <c r="AC672" s="1">
        <f t="shared" si="198"/>
        <v>46422</v>
      </c>
      <c r="AD672">
        <f>IF(VLOOKUP(AC672,'FOMC exp '!$C$6:$C$22,1)=AC672,MATCH(AC672,'FOMC exp '!$C$6:$C$22,1),AD671)</f>
        <v>16</v>
      </c>
      <c r="AE672" s="18" cm="1">
        <f t="array" ref="AE672">INDEX('FOMC exp '!$C$6:$D$23,AD672,2)</f>
        <v>4.4999999999999998E-2</v>
      </c>
    </row>
    <row r="673" spans="1:31">
      <c r="A673" t="str">
        <f t="shared" si="192"/>
        <v>Friday</v>
      </c>
      <c r="B673" s="1">
        <f t="shared" si="193"/>
        <v>46423</v>
      </c>
      <c r="C673" s="45">
        <f>IF(LEFT(A673,1)="S","",VLOOKUP(B673,$AC$4:$AE$734,3)-'Quoting term rates'!$C$4)</f>
        <v>4.3299999999999998E-2</v>
      </c>
      <c r="D673">
        <f t="shared" si="199"/>
        <v>1.083782105250308</v>
      </c>
      <c r="E673" s="45">
        <f t="shared" si="188"/>
        <v>4.5084540941869804E-2</v>
      </c>
      <c r="AC673" s="1">
        <f t="shared" si="198"/>
        <v>46423</v>
      </c>
      <c r="AD673">
        <f>IF(VLOOKUP(AC673,'FOMC exp '!$C$6:$C$22,1)=AC673,MATCH(AC673,'FOMC exp '!$C$6:$C$22,1),AD672)</f>
        <v>16</v>
      </c>
      <c r="AE673" s="18" cm="1">
        <f t="array" ref="AE673">INDEX('FOMC exp '!$C$6:$D$23,AD673,2)</f>
        <v>4.4999999999999998E-2</v>
      </c>
    </row>
    <row r="674" spans="1:31">
      <c r="A674" t="str">
        <f t="shared" si="192"/>
        <v>Saturday</v>
      </c>
      <c r="B674" s="1">
        <f t="shared" si="193"/>
        <v>46424</v>
      </c>
      <c r="C674" s="45" t="str">
        <f>IF(LEFT(A674,1)="S","",VLOOKUP(B674,$AC$4:$AE$734,3)-'Quoting term rates'!$C$4)</f>
        <v/>
      </c>
      <c r="E674" s="45" t="str">
        <f t="shared" si="188"/>
        <v/>
      </c>
      <c r="AC674" s="1">
        <f t="shared" si="198"/>
        <v>46424</v>
      </c>
      <c r="AD674">
        <f>IF(VLOOKUP(AC674,'FOMC exp '!$C$6:$C$22,1)=AC674,MATCH(AC674,'FOMC exp '!$C$6:$C$22,1),AD673)</f>
        <v>16</v>
      </c>
      <c r="AE674" s="18" cm="1">
        <f t="array" ref="AE674">INDEX('FOMC exp '!$C$6:$D$23,AD674,2)</f>
        <v>4.4999999999999998E-2</v>
      </c>
    </row>
    <row r="675" spans="1:31">
      <c r="A675" t="str">
        <f t="shared" si="192"/>
        <v>Sunday</v>
      </c>
      <c r="B675" s="1">
        <f t="shared" si="193"/>
        <v>46425</v>
      </c>
      <c r="C675" s="45" t="str">
        <f>IF(LEFT(A675,1)="S","",VLOOKUP(B675,$AC$4:$AE$734,3)-'Quoting term rates'!$C$4)</f>
        <v/>
      </c>
      <c r="E675" s="45" t="str">
        <f t="shared" si="188"/>
        <v/>
      </c>
      <c r="AC675" s="1">
        <f t="shared" si="198"/>
        <v>46425</v>
      </c>
      <c r="AD675">
        <f>IF(VLOOKUP(AC675,'FOMC exp '!$C$6:$C$22,1)=AC675,MATCH(AC675,'FOMC exp '!$C$6:$C$22,1),AD674)</f>
        <v>16</v>
      </c>
      <c r="AE675" s="18" cm="1">
        <f t="array" ref="AE675">INDEX('FOMC exp '!$C$6:$D$23,AD675,2)</f>
        <v>4.4999999999999998E-2</v>
      </c>
    </row>
    <row r="676" spans="1:31">
      <c r="A676" t="str">
        <f t="shared" si="192"/>
        <v>Monday</v>
      </c>
      <c r="B676" s="1">
        <f t="shared" si="193"/>
        <v>46426</v>
      </c>
      <c r="C676" s="45">
        <f>IF(LEFT(A676,1)="S","",VLOOKUP(B676,$AC$4:$AE$734,3)-'Quoting term rates'!$C$4)</f>
        <v>4.3299999999999998E-2</v>
      </c>
      <c r="D676">
        <f t="shared" si="195"/>
        <v>1.0841731699599526</v>
      </c>
      <c r="E676" s="45">
        <f t="shared" si="188"/>
        <v>4.5092769621403184E-2</v>
      </c>
      <c r="AC676" s="1">
        <f t="shared" si="198"/>
        <v>46426</v>
      </c>
      <c r="AD676">
        <f>IF(VLOOKUP(AC676,'FOMC exp '!$C$6:$C$22,1)=AC676,MATCH(AC676,'FOMC exp '!$C$6:$C$22,1),AD675)</f>
        <v>16</v>
      </c>
      <c r="AE676" s="18" cm="1">
        <f t="array" ref="AE676">INDEX('FOMC exp '!$C$6:$D$23,AD676,2)</f>
        <v>4.4999999999999998E-2</v>
      </c>
    </row>
    <row r="677" spans="1:31">
      <c r="A677" t="str">
        <f t="shared" si="192"/>
        <v>Tuesday</v>
      </c>
      <c r="B677" s="1">
        <f t="shared" si="193"/>
        <v>46427</v>
      </c>
      <c r="C677" s="45">
        <f>IF(LEFT(A677,1)="S","",VLOOKUP(B677,$AC$4:$AE$734,3)-'Quoting term rates'!$C$4)</f>
        <v>4.3299999999999998E-2</v>
      </c>
      <c r="D677">
        <f t="shared" ref="D677:D680" si="200">D676*(1+C676*1/360)</f>
        <v>1.0843035718995617</v>
      </c>
      <c r="E677" s="45">
        <f t="shared" si="188"/>
        <v>4.509552137272247E-2</v>
      </c>
      <c r="AC677" s="1">
        <f t="shared" si="198"/>
        <v>46427</v>
      </c>
      <c r="AD677">
        <f>IF(VLOOKUP(AC677,'FOMC exp '!$C$6:$C$22,1)=AC677,MATCH(AC677,'FOMC exp '!$C$6:$C$22,1),AD676)</f>
        <v>16</v>
      </c>
      <c r="AE677" s="18" cm="1">
        <f t="array" ref="AE677">INDEX('FOMC exp '!$C$6:$D$23,AD677,2)</f>
        <v>4.4999999999999998E-2</v>
      </c>
    </row>
    <row r="678" spans="1:31">
      <c r="A678" t="str">
        <f t="shared" si="192"/>
        <v>Wednesday</v>
      </c>
      <c r="B678" s="1">
        <f t="shared" si="193"/>
        <v>46428</v>
      </c>
      <c r="C678" s="45">
        <f>IF(LEFT(A678,1)="S","",VLOOKUP(B678,$AC$4:$AE$734,3)-'Quoting term rates'!$C$4)</f>
        <v>4.3299999999999998E-2</v>
      </c>
      <c r="D678">
        <f t="shared" si="200"/>
        <v>1.0844339895236264</v>
      </c>
      <c r="E678" s="45">
        <f t="shared" si="188"/>
        <v>4.5098273336061555E-2</v>
      </c>
      <c r="AC678" s="1">
        <f t="shared" si="198"/>
        <v>46428</v>
      </c>
      <c r="AD678">
        <f>IF(VLOOKUP(AC678,'FOMC exp '!$C$6:$C$22,1)=AC678,MATCH(AC678,'FOMC exp '!$C$6:$C$22,1),AD677)</f>
        <v>16</v>
      </c>
      <c r="AE678" s="18" cm="1">
        <f t="array" ref="AE678">INDEX('FOMC exp '!$C$6:$D$23,AD678,2)</f>
        <v>4.4999999999999998E-2</v>
      </c>
    </row>
    <row r="679" spans="1:31">
      <c r="A679" t="str">
        <f t="shared" si="192"/>
        <v>Thursday</v>
      </c>
      <c r="B679" s="1">
        <f t="shared" si="193"/>
        <v>46429</v>
      </c>
      <c r="C679" s="45">
        <f>IF(LEFT(A679,1)="S","",VLOOKUP(B679,$AC$4:$AE$734,3)-'Quoting term rates'!$C$4)</f>
        <v>4.3299999999999998E-2</v>
      </c>
      <c r="D679">
        <f t="shared" si="200"/>
        <v>1.084564422834033</v>
      </c>
      <c r="E679" s="45">
        <f t="shared" si="188"/>
        <v>4.5101025511484254E-2</v>
      </c>
      <c r="AC679" s="1">
        <f t="shared" si="198"/>
        <v>46429</v>
      </c>
      <c r="AD679">
        <f>IF(VLOOKUP(AC679,'FOMC exp '!$C$6:$C$22,1)=AC679,MATCH(AC679,'FOMC exp '!$C$6:$C$22,1),AD678)</f>
        <v>16</v>
      </c>
      <c r="AE679" s="18" cm="1">
        <f t="array" ref="AE679">INDEX('FOMC exp '!$C$6:$D$23,AD679,2)</f>
        <v>4.4999999999999998E-2</v>
      </c>
    </row>
    <row r="680" spans="1:31">
      <c r="A680" t="str">
        <f t="shared" si="192"/>
        <v>Friday</v>
      </c>
      <c r="B680" s="1">
        <f t="shared" si="193"/>
        <v>46430</v>
      </c>
      <c r="C680" s="45">
        <f>IF(LEFT(A680,1)="S","",VLOOKUP(B680,$AC$4:$AE$734,3)-'Quoting term rates'!$C$4)</f>
        <v>4.3299999999999998E-2</v>
      </c>
      <c r="D680">
        <f t="shared" si="200"/>
        <v>1.0846948718326683</v>
      </c>
      <c r="E680" s="45">
        <f t="shared" si="188"/>
        <v>4.5103777899054134E-2</v>
      </c>
      <c r="AC680" s="1">
        <f t="shared" si="198"/>
        <v>46430</v>
      </c>
      <c r="AD680">
        <f>IF(VLOOKUP(AC680,'FOMC exp '!$C$6:$C$22,1)=AC680,MATCH(AC680,'FOMC exp '!$C$6:$C$22,1),AD679)</f>
        <v>16</v>
      </c>
      <c r="AE680" s="18" cm="1">
        <f t="array" ref="AE680">INDEX('FOMC exp '!$C$6:$D$23,AD680,2)</f>
        <v>4.4999999999999998E-2</v>
      </c>
    </row>
    <row r="681" spans="1:31">
      <c r="A681" t="str">
        <f t="shared" si="192"/>
        <v>Saturday</v>
      </c>
      <c r="B681" s="1">
        <f t="shared" si="193"/>
        <v>46431</v>
      </c>
      <c r="C681" s="45" t="str">
        <f>IF(LEFT(A681,1)="S","",VLOOKUP(B681,$AC$4:$AE$734,3)-'Quoting term rates'!$C$4)</f>
        <v/>
      </c>
      <c r="E681" s="45" t="str">
        <f t="shared" si="188"/>
        <v/>
      </c>
      <c r="AC681" s="1">
        <f t="shared" si="198"/>
        <v>46431</v>
      </c>
      <c r="AD681">
        <f>IF(VLOOKUP(AC681,'FOMC exp '!$C$6:$C$22,1)=AC681,MATCH(AC681,'FOMC exp '!$C$6:$C$22,1),AD680)</f>
        <v>16</v>
      </c>
      <c r="AE681" s="18" cm="1">
        <f t="array" ref="AE681">INDEX('FOMC exp '!$C$6:$D$23,AD681,2)</f>
        <v>4.4999999999999998E-2</v>
      </c>
    </row>
    <row r="682" spans="1:31">
      <c r="A682" t="str">
        <f t="shared" si="192"/>
        <v>Sunday</v>
      </c>
      <c r="B682" s="1">
        <f t="shared" si="193"/>
        <v>46432</v>
      </c>
      <c r="C682" s="45" t="str">
        <f>IF(LEFT(A682,1)="S","",VLOOKUP(B682,$AC$4:$AE$734,3)-'Quoting term rates'!$C$4)</f>
        <v/>
      </c>
      <c r="E682" s="45" t="str">
        <f t="shared" si="188"/>
        <v/>
      </c>
      <c r="AC682" s="1">
        <f t="shared" si="198"/>
        <v>46432</v>
      </c>
      <c r="AD682">
        <f>IF(VLOOKUP(AC682,'FOMC exp '!$C$6:$C$22,1)=AC682,MATCH(AC682,'FOMC exp '!$C$6:$C$22,1),AD681)</f>
        <v>16</v>
      </c>
      <c r="AE682" s="18" cm="1">
        <f t="array" ref="AE682">INDEX('FOMC exp '!$C$6:$D$23,AD682,2)</f>
        <v>4.4999999999999998E-2</v>
      </c>
    </row>
    <row r="683" spans="1:31">
      <c r="A683" t="str">
        <f t="shared" si="192"/>
        <v>Monday</v>
      </c>
      <c r="B683" s="1">
        <f t="shared" si="193"/>
        <v>46433</v>
      </c>
      <c r="C683" s="45">
        <f>IF(LEFT(A683,1)="S","",VLOOKUP(B683,$AC$4:$AE$734,3)-'Quoting term rates'!$C$4)</f>
        <v>4.3299999999999998E-2</v>
      </c>
      <c r="D683">
        <f t="shared" si="195"/>
        <v>1.0850862658989213</v>
      </c>
      <c r="E683" s="45">
        <f t="shared" si="188"/>
        <v>4.5112011374980374E-2</v>
      </c>
      <c r="AC683" s="1">
        <f t="shared" si="198"/>
        <v>46433</v>
      </c>
      <c r="AD683">
        <f>IF(VLOOKUP(AC683,'FOMC exp '!$C$6:$C$22,1)=AC683,MATCH(AC683,'FOMC exp '!$C$6:$C$22,1),AD682)</f>
        <v>16</v>
      </c>
      <c r="AE683" s="18" cm="1">
        <f t="array" ref="AE683">INDEX('FOMC exp '!$C$6:$D$23,AD683,2)</f>
        <v>4.4999999999999998E-2</v>
      </c>
    </row>
    <row r="684" spans="1:31">
      <c r="A684" t="str">
        <f t="shared" si="192"/>
        <v>Tuesday</v>
      </c>
      <c r="B684" s="1">
        <f t="shared" si="193"/>
        <v>46434</v>
      </c>
      <c r="C684" s="45">
        <f>IF(LEFT(A684,1)="S","",VLOOKUP(B684,$AC$4:$AE$734,3)-'Quoting term rates'!$C$4)</f>
        <v>4.3299999999999998E-2</v>
      </c>
      <c r="D684">
        <f t="shared" ref="D684:D687" si="201">D683*(1+C683*1/360)</f>
        <v>1.0852167776636807</v>
      </c>
      <c r="E684" s="45">
        <f t="shared" si="188"/>
        <v>4.5114764645478041E-2</v>
      </c>
      <c r="AC684" s="1">
        <f t="shared" si="198"/>
        <v>46434</v>
      </c>
      <c r="AD684">
        <f>IF(VLOOKUP(AC684,'FOMC exp '!$C$6:$C$22,1)=AC684,MATCH(AC684,'FOMC exp '!$C$6:$C$22,1),AD683)</f>
        <v>16</v>
      </c>
      <c r="AE684" s="18" cm="1">
        <f t="array" ref="AE684">INDEX('FOMC exp '!$C$6:$D$23,AD684,2)</f>
        <v>4.4999999999999998E-2</v>
      </c>
    </row>
    <row r="685" spans="1:31">
      <c r="A685" t="str">
        <f t="shared" si="192"/>
        <v>Wednesday</v>
      </c>
      <c r="B685" s="1">
        <f t="shared" si="193"/>
        <v>46435</v>
      </c>
      <c r="C685" s="45">
        <f>IF(LEFT(A685,1)="S","",VLOOKUP(B685,$AC$4:$AE$734,3)-'Quoting term rates'!$C$4)</f>
        <v>4.3299999999999998E-2</v>
      </c>
      <c r="D685">
        <f t="shared" si="201"/>
        <v>1.0853473051261053</v>
      </c>
      <c r="E685" s="45">
        <f t="shared" si="188"/>
        <v>4.5117518128337621E-2</v>
      </c>
      <c r="AC685" s="1">
        <f t="shared" si="198"/>
        <v>46435</v>
      </c>
      <c r="AD685">
        <f>IF(VLOOKUP(AC685,'FOMC exp '!$C$6:$C$22,1)=AC685,MATCH(AC685,'FOMC exp '!$C$6:$C$22,1),AD684)</f>
        <v>16</v>
      </c>
      <c r="AE685" s="18" cm="1">
        <f t="array" ref="AE685">INDEX('FOMC exp '!$C$6:$D$23,AD685,2)</f>
        <v>4.4999999999999998E-2</v>
      </c>
    </row>
    <row r="686" spans="1:31">
      <c r="A686" t="str">
        <f t="shared" si="192"/>
        <v>Thursday</v>
      </c>
      <c r="B686" s="1">
        <f t="shared" si="193"/>
        <v>46436</v>
      </c>
      <c r="C686" s="45">
        <f>IF(LEFT(A686,1)="S","",VLOOKUP(B686,$AC$4:$AE$734,3)-'Quoting term rates'!$C$4)</f>
        <v>4.3299999999999998E-2</v>
      </c>
      <c r="D686">
        <f t="shared" si="201"/>
        <v>1.0854778482880829</v>
      </c>
      <c r="E686" s="45">
        <f t="shared" si="188"/>
        <v>4.512027182362148E-2</v>
      </c>
      <c r="AC686" s="1">
        <f t="shared" si="198"/>
        <v>46436</v>
      </c>
      <c r="AD686">
        <f>IF(VLOOKUP(AC686,'FOMC exp '!$C$6:$C$22,1)=AC686,MATCH(AC686,'FOMC exp '!$C$6:$C$22,1),AD685)</f>
        <v>16</v>
      </c>
      <c r="AE686" s="18" cm="1">
        <f t="array" ref="AE686">INDEX('FOMC exp '!$C$6:$D$23,AD686,2)</f>
        <v>4.4999999999999998E-2</v>
      </c>
    </row>
    <row r="687" spans="1:31">
      <c r="A687" t="str">
        <f t="shared" si="192"/>
        <v>Friday</v>
      </c>
      <c r="B687" s="1">
        <f t="shared" si="193"/>
        <v>46437</v>
      </c>
      <c r="C687" s="45">
        <f>IF(LEFT(A687,1)="S","",VLOOKUP(B687,$AC$4:$AE$734,3)-'Quoting term rates'!$C$4)</f>
        <v>4.3299999999999998E-2</v>
      </c>
      <c r="D687">
        <f t="shared" si="201"/>
        <v>1.085608407151502</v>
      </c>
      <c r="E687" s="45">
        <f t="shared" si="188"/>
        <v>4.5123025731391965E-2</v>
      </c>
      <c r="AC687" s="1">
        <f t="shared" si="198"/>
        <v>46437</v>
      </c>
      <c r="AD687">
        <f>IF(VLOOKUP(AC687,'FOMC exp '!$C$6:$C$22,1)=AC687,MATCH(AC687,'FOMC exp '!$C$6:$C$22,1),AD686)</f>
        <v>16</v>
      </c>
      <c r="AE687" s="18" cm="1">
        <f t="array" ref="AE687">INDEX('FOMC exp '!$C$6:$D$23,AD687,2)</f>
        <v>4.4999999999999998E-2</v>
      </c>
    </row>
    <row r="688" spans="1:31">
      <c r="A688" t="str">
        <f t="shared" si="192"/>
        <v>Saturday</v>
      </c>
      <c r="B688" s="1">
        <f t="shared" si="193"/>
        <v>46438</v>
      </c>
      <c r="C688" s="45" t="str">
        <f>IF(LEFT(A688,1)="S","",VLOOKUP(B688,$AC$4:$AE$734,3)-'Quoting term rates'!$C$4)</f>
        <v/>
      </c>
      <c r="E688" s="45" t="str">
        <f t="shared" si="188"/>
        <v/>
      </c>
      <c r="AC688" s="1">
        <f t="shared" si="198"/>
        <v>46438</v>
      </c>
      <c r="AD688">
        <f>IF(VLOOKUP(AC688,'FOMC exp '!$C$6:$C$22,1)=AC688,MATCH(AC688,'FOMC exp '!$C$6:$C$22,1),AD687)</f>
        <v>16</v>
      </c>
      <c r="AE688" s="18" cm="1">
        <f t="array" ref="AE688">INDEX('FOMC exp '!$C$6:$D$23,AD688,2)</f>
        <v>4.4999999999999998E-2</v>
      </c>
    </row>
    <row r="689" spans="1:31">
      <c r="A689" t="str">
        <f t="shared" si="192"/>
        <v>Sunday</v>
      </c>
      <c r="B689" s="1">
        <f t="shared" si="193"/>
        <v>46439</v>
      </c>
      <c r="C689" s="45" t="str">
        <f>IF(LEFT(A689,1)="S","",VLOOKUP(B689,$AC$4:$AE$734,3)-'Quoting term rates'!$C$4)</f>
        <v/>
      </c>
      <c r="E689" s="45" t="str">
        <f t="shared" ref="E689:E734" si="202">IF((D689-1)*360/(B689-$B$4)&lt;0,"",(D689-1)*360/(B689-$B$4))</f>
        <v/>
      </c>
      <c r="AC689" s="1">
        <f t="shared" si="198"/>
        <v>46439</v>
      </c>
      <c r="AD689">
        <f>IF(VLOOKUP(AC689,'FOMC exp '!$C$6:$C$22,1)=AC689,MATCH(AC689,'FOMC exp '!$C$6:$C$22,1),AD688)</f>
        <v>16</v>
      </c>
      <c r="AE689" s="18" cm="1">
        <f t="array" ref="AE689">INDEX('FOMC exp '!$C$6:$D$23,AD689,2)</f>
        <v>4.4999999999999998E-2</v>
      </c>
    </row>
    <row r="690" spans="1:31">
      <c r="A690" t="str">
        <f t="shared" si="192"/>
        <v>Monday</v>
      </c>
      <c r="B690" s="1">
        <f t="shared" si="193"/>
        <v>46440</v>
      </c>
      <c r="C690" s="45">
        <f>IF(LEFT(A690,1)="S","",VLOOKUP(B690,$AC$4:$AE$734,3)-'Quoting term rates'!$C$4)</f>
        <v>4.3299999999999998E-2</v>
      </c>
      <c r="D690">
        <f t="shared" si="195"/>
        <v>1.0860001308517491</v>
      </c>
      <c r="E690" s="45">
        <f t="shared" si="202"/>
        <v>4.5131264003833334E-2</v>
      </c>
      <c r="AC690" s="1">
        <f t="shared" si="198"/>
        <v>46440</v>
      </c>
      <c r="AD690">
        <f>IF(VLOOKUP(AC690,'FOMC exp '!$C$6:$C$22,1)=AC690,MATCH(AC690,'FOMC exp '!$C$6:$C$22,1),AD689)</f>
        <v>16</v>
      </c>
      <c r="AE690" s="18" cm="1">
        <f t="array" ref="AE690">INDEX('FOMC exp '!$C$6:$D$23,AD690,2)</f>
        <v>4.4999999999999998E-2</v>
      </c>
    </row>
    <row r="691" spans="1:31">
      <c r="A691" t="str">
        <f t="shared" si="192"/>
        <v>Tuesday</v>
      </c>
      <c r="B691" s="1">
        <f t="shared" si="193"/>
        <v>46441</v>
      </c>
      <c r="C691" s="45">
        <f>IF(LEFT(A691,1)="S","",VLOOKUP(B691,$AC$4:$AE$734,3)-'Quoting term rates'!$C$4)</f>
        <v>4.3299999999999998E-2</v>
      </c>
      <c r="D691">
        <f t="shared" ref="D691:D694" si="203">D690*(1+C690*1/360)</f>
        <v>1.0861307525341544</v>
      </c>
      <c r="E691" s="45">
        <f t="shared" si="202"/>
        <v>4.5134018795190058E-2</v>
      </c>
      <c r="AC691" s="1">
        <f t="shared" si="198"/>
        <v>46441</v>
      </c>
      <c r="AD691">
        <f>IF(VLOOKUP(AC691,'FOMC exp '!$C$6:$C$22,1)=AC691,MATCH(AC691,'FOMC exp '!$C$6:$C$22,1),AD690)</f>
        <v>16</v>
      </c>
      <c r="AE691" s="18" cm="1">
        <f t="array" ref="AE691">INDEX('FOMC exp '!$C$6:$D$23,AD691,2)</f>
        <v>4.4999999999999998E-2</v>
      </c>
    </row>
    <row r="692" spans="1:31">
      <c r="A692" t="str">
        <f t="shared" si="192"/>
        <v>Wednesday</v>
      </c>
      <c r="B692" s="1">
        <f t="shared" si="193"/>
        <v>46442</v>
      </c>
      <c r="C692" s="45">
        <f>IF(LEFT(A692,1)="S","",VLOOKUP(B692,$AC$4:$AE$734,3)-'Quoting term rates'!$C$4)</f>
        <v>4.3299999999999998E-2</v>
      </c>
      <c r="D692">
        <f t="shared" si="203"/>
        <v>1.0862613899274454</v>
      </c>
      <c r="E692" s="45">
        <f t="shared" si="202"/>
        <v>4.5136773799244669E-2</v>
      </c>
      <c r="AC692" s="1">
        <f t="shared" si="198"/>
        <v>46442</v>
      </c>
      <c r="AD692">
        <f>IF(VLOOKUP(AC692,'FOMC exp '!$C$6:$C$22,1)=AC692,MATCH(AC692,'FOMC exp '!$C$6:$C$22,1),AD691)</f>
        <v>16</v>
      </c>
      <c r="AE692" s="18" cm="1">
        <f t="array" ref="AE692">INDEX('FOMC exp '!$C$6:$D$23,AD692,2)</f>
        <v>4.4999999999999998E-2</v>
      </c>
    </row>
    <row r="693" spans="1:31">
      <c r="A693" t="str">
        <f t="shared" si="192"/>
        <v>Thursday</v>
      </c>
      <c r="B693" s="1">
        <f t="shared" si="193"/>
        <v>46443</v>
      </c>
      <c r="C693" s="45">
        <f>IF(LEFT(A693,1)="S","",VLOOKUP(B693,$AC$4:$AE$734,3)-'Quoting term rates'!$C$4)</f>
        <v>4.3299999999999998E-2</v>
      </c>
      <c r="D693">
        <f t="shared" si="203"/>
        <v>1.0863920430335117</v>
      </c>
      <c r="E693" s="45">
        <f t="shared" si="202"/>
        <v>4.5139529016058347E-2</v>
      </c>
      <c r="AC693" s="1">
        <f t="shared" si="198"/>
        <v>46443</v>
      </c>
      <c r="AD693">
        <f>IF(VLOOKUP(AC693,'FOMC exp '!$C$6:$C$22,1)=AC693,MATCH(AC693,'FOMC exp '!$C$6:$C$22,1),AD692)</f>
        <v>16</v>
      </c>
      <c r="AE693" s="18" cm="1">
        <f t="array" ref="AE693">INDEX('FOMC exp '!$C$6:$D$23,AD693,2)</f>
        <v>4.4999999999999998E-2</v>
      </c>
    </row>
    <row r="694" spans="1:31">
      <c r="A694" t="str">
        <f t="shared" si="192"/>
        <v>Friday</v>
      </c>
      <c r="B694" s="1">
        <f t="shared" si="193"/>
        <v>46444</v>
      </c>
      <c r="C694" s="45">
        <f>IF(LEFT(A694,1)="S","",VLOOKUP(B694,$AC$4:$AE$734,3)-'Quoting term rates'!$C$4)</f>
        <v>4.3299999999999998E-2</v>
      </c>
      <c r="D694">
        <f t="shared" si="203"/>
        <v>1.0865227118542433</v>
      </c>
      <c r="E694" s="45">
        <f t="shared" si="202"/>
        <v>4.5142284445692168E-2</v>
      </c>
      <c r="AC694" s="1">
        <f t="shared" si="198"/>
        <v>46444</v>
      </c>
      <c r="AD694">
        <f>IF(VLOOKUP(AC694,'FOMC exp '!$C$6:$C$22,1)=AC694,MATCH(AC694,'FOMC exp '!$C$6:$C$22,1),AD693)</f>
        <v>16</v>
      </c>
      <c r="AE694" s="18" cm="1">
        <f t="array" ref="AE694">INDEX('FOMC exp '!$C$6:$D$23,AD694,2)</f>
        <v>4.4999999999999998E-2</v>
      </c>
    </row>
    <row r="695" spans="1:31">
      <c r="A695" t="str">
        <f t="shared" si="192"/>
        <v>Saturday</v>
      </c>
      <c r="B695" s="1">
        <f t="shared" si="193"/>
        <v>46445</v>
      </c>
      <c r="C695" s="45" t="str">
        <f>IF(LEFT(A695,1)="S","",VLOOKUP(B695,$AC$4:$AE$734,3)-'Quoting term rates'!$C$4)</f>
        <v/>
      </c>
      <c r="E695" s="45" t="str">
        <f t="shared" si="202"/>
        <v/>
      </c>
      <c r="AC695" s="1">
        <f t="shared" si="198"/>
        <v>46445</v>
      </c>
      <c r="AD695">
        <f>IF(VLOOKUP(AC695,'FOMC exp '!$C$6:$C$22,1)=AC695,MATCH(AC695,'FOMC exp '!$C$6:$C$22,1),AD694)</f>
        <v>16</v>
      </c>
      <c r="AE695" s="18" cm="1">
        <f t="array" ref="AE695">INDEX('FOMC exp '!$C$6:$D$23,AD695,2)</f>
        <v>4.4999999999999998E-2</v>
      </c>
    </row>
    <row r="696" spans="1:31">
      <c r="A696" t="str">
        <f t="shared" si="192"/>
        <v>Sunday</v>
      </c>
      <c r="B696" s="1">
        <f t="shared" si="193"/>
        <v>46446</v>
      </c>
      <c r="C696" s="45" t="str">
        <f>IF(LEFT(A696,1)="S","",VLOOKUP(B696,$AC$4:$AE$734,3)-'Quoting term rates'!$C$4)</f>
        <v/>
      </c>
      <c r="E696" s="45" t="str">
        <f t="shared" si="202"/>
        <v/>
      </c>
      <c r="AC696" s="1">
        <f t="shared" si="198"/>
        <v>46446</v>
      </c>
      <c r="AD696">
        <f>IF(VLOOKUP(AC696,'FOMC exp '!$C$6:$C$22,1)=AC696,MATCH(AC696,'FOMC exp '!$C$6:$C$22,1),AD695)</f>
        <v>16</v>
      </c>
      <c r="AE696" s="18" cm="1">
        <f t="array" ref="AE696">INDEX('FOMC exp '!$C$6:$D$23,AD696,2)</f>
        <v>4.4999999999999998E-2</v>
      </c>
    </row>
    <row r="697" spans="1:31">
      <c r="A697" t="str">
        <f t="shared" si="192"/>
        <v>Monday</v>
      </c>
      <c r="B697" s="1">
        <f t="shared" si="193"/>
        <v>46447</v>
      </c>
      <c r="C697" s="45">
        <f>IF(LEFT(A697,1)="S","",VLOOKUP(B697,$AC$4:$AE$734,3)-'Quoting term rates'!$C$4)</f>
        <v>4.3299999999999998E-2</v>
      </c>
      <c r="D697">
        <f t="shared" si="195"/>
        <v>1.086914765466104</v>
      </c>
      <c r="E697" s="45">
        <f t="shared" si="202"/>
        <v>4.5150527514859221E-2</v>
      </c>
      <c r="AC697" s="1">
        <f t="shared" si="198"/>
        <v>46447</v>
      </c>
      <c r="AD697">
        <f>IF(VLOOKUP(AC697,'FOMC exp '!$C$6:$C$22,1)=AC697,MATCH(AC697,'FOMC exp '!$C$6:$C$22,1),AD696)</f>
        <v>16</v>
      </c>
      <c r="AE697" s="18" cm="1">
        <f t="array" ref="AE697">INDEX('FOMC exp '!$C$6:$D$23,AD697,2)</f>
        <v>4.4999999999999998E-2</v>
      </c>
    </row>
    <row r="698" spans="1:31">
      <c r="A698" t="str">
        <f t="shared" si="192"/>
        <v>Tuesday</v>
      </c>
      <c r="B698" s="1">
        <f t="shared" si="193"/>
        <v>46448</v>
      </c>
      <c r="C698" s="45">
        <f>IF(LEFT(A698,1)="S","",VLOOKUP(B698,$AC$4:$AE$734,3)-'Quoting term rates'!$C$4)</f>
        <v>4.3299999999999998E-2</v>
      </c>
      <c r="D698">
        <f t="shared" ref="D698:D701" si="204">D697*(1+C697*1/360)</f>
        <v>1.0870454971587282</v>
      </c>
      <c r="E698" s="45">
        <f t="shared" si="202"/>
        <v>4.5153283828735104E-2</v>
      </c>
      <c r="AC698" s="1">
        <f t="shared" si="198"/>
        <v>46448</v>
      </c>
      <c r="AD698">
        <f>IF(VLOOKUP(AC698,'FOMC exp '!$C$6:$C$22,1)=AC698,MATCH(AC698,'FOMC exp '!$C$6:$C$22,1),AD697)</f>
        <v>16</v>
      </c>
      <c r="AE698" s="18" cm="1">
        <f t="array" ref="AE698">INDEX('FOMC exp '!$C$6:$D$23,AD698,2)</f>
        <v>4.4999999999999998E-2</v>
      </c>
    </row>
    <row r="699" spans="1:31">
      <c r="A699" t="str">
        <f t="shared" si="192"/>
        <v>Wednesday</v>
      </c>
      <c r="B699" s="1">
        <f t="shared" si="193"/>
        <v>46449</v>
      </c>
      <c r="C699" s="45">
        <f>IF(LEFT(A699,1)="S","",VLOOKUP(B699,$AC$4:$AE$734,3)-'Quoting term rates'!$C$4)</f>
        <v>4.3299999999999998E-2</v>
      </c>
      <c r="D699">
        <f t="shared" si="204"/>
        <v>1.0871762445754698</v>
      </c>
      <c r="E699" s="45">
        <f t="shared" si="202"/>
        <v>4.5156040355639027E-2</v>
      </c>
      <c r="AC699" s="1">
        <f t="shared" si="198"/>
        <v>46449</v>
      </c>
      <c r="AD699">
        <f>IF(VLOOKUP(AC699,'FOMC exp '!$C$6:$C$22,1)=AC699,MATCH(AC699,'FOMC exp '!$C$6:$C$22,1),AD698)</f>
        <v>16</v>
      </c>
      <c r="AE699" s="18" cm="1">
        <f t="array" ref="AE699">INDEX('FOMC exp '!$C$6:$D$23,AD699,2)</f>
        <v>4.4999999999999998E-2</v>
      </c>
    </row>
    <row r="700" spans="1:31">
      <c r="A700" t="str">
        <f t="shared" si="192"/>
        <v>Thursday</v>
      </c>
      <c r="B700" s="1">
        <f t="shared" si="193"/>
        <v>46450</v>
      </c>
      <c r="C700" s="45">
        <f>IF(LEFT(A700,1)="S","",VLOOKUP(B700,$AC$4:$AE$734,3)-'Quoting term rates'!$C$4)</f>
        <v>4.3299999999999998E-2</v>
      </c>
      <c r="D700">
        <f t="shared" si="204"/>
        <v>1.0873070077182201</v>
      </c>
      <c r="E700" s="45">
        <f t="shared" si="202"/>
        <v>4.515879709563108E-2</v>
      </c>
      <c r="AC700" s="1">
        <f t="shared" si="198"/>
        <v>46450</v>
      </c>
      <c r="AD700">
        <f>IF(VLOOKUP(AC700,'FOMC exp '!$C$6:$C$22,1)=AC700,MATCH(AC700,'FOMC exp '!$C$6:$C$22,1),AD699)</f>
        <v>16</v>
      </c>
      <c r="AE700" s="18" cm="1">
        <f t="array" ref="AE700">INDEX('FOMC exp '!$C$6:$D$23,AD700,2)</f>
        <v>4.4999999999999998E-2</v>
      </c>
    </row>
    <row r="701" spans="1:31">
      <c r="A701" t="str">
        <f t="shared" si="192"/>
        <v>Friday</v>
      </c>
      <c r="B701" s="1">
        <f t="shared" si="193"/>
        <v>46451</v>
      </c>
      <c r="C701" s="45">
        <f>IF(LEFT(A701,1)="S","",VLOOKUP(B701,$AC$4:$AE$734,3)-'Quoting term rates'!$C$4)</f>
        <v>4.3299999999999998E-2</v>
      </c>
      <c r="D701">
        <f t="shared" si="204"/>
        <v>1.0874377865888707</v>
      </c>
      <c r="E701" s="45">
        <f t="shared" si="202"/>
        <v>4.5161554048771091E-2</v>
      </c>
      <c r="AC701" s="1">
        <f t="shared" si="198"/>
        <v>46451</v>
      </c>
      <c r="AD701">
        <f>IF(VLOOKUP(AC701,'FOMC exp '!$C$6:$C$22,1)=AC701,MATCH(AC701,'FOMC exp '!$C$6:$C$22,1),AD700)</f>
        <v>16</v>
      </c>
      <c r="AE701" s="18" cm="1">
        <f t="array" ref="AE701">INDEX('FOMC exp '!$C$6:$D$23,AD701,2)</f>
        <v>4.4999999999999998E-2</v>
      </c>
    </row>
    <row r="702" spans="1:31">
      <c r="A702" t="str">
        <f t="shared" si="192"/>
        <v>Saturday</v>
      </c>
      <c r="B702" s="1">
        <f t="shared" si="193"/>
        <v>46452</v>
      </c>
      <c r="C702" s="45" t="str">
        <f>IF(LEFT(A702,1)="S","",VLOOKUP(B702,$AC$4:$AE$734,3)-'Quoting term rates'!$C$4)</f>
        <v/>
      </c>
      <c r="E702" s="45" t="str">
        <f t="shared" si="202"/>
        <v/>
      </c>
      <c r="AC702" s="1">
        <f t="shared" si="198"/>
        <v>46452</v>
      </c>
      <c r="AD702">
        <f>IF(VLOOKUP(AC702,'FOMC exp '!$C$6:$C$22,1)=AC702,MATCH(AC702,'FOMC exp '!$C$6:$C$22,1),AD701)</f>
        <v>16</v>
      </c>
      <c r="AE702" s="18" cm="1">
        <f t="array" ref="AE702">INDEX('FOMC exp '!$C$6:$D$23,AD702,2)</f>
        <v>4.4999999999999998E-2</v>
      </c>
    </row>
    <row r="703" spans="1:31">
      <c r="A703" t="str">
        <f t="shared" si="192"/>
        <v>Sunday</v>
      </c>
      <c r="B703" s="1">
        <f t="shared" si="193"/>
        <v>46453</v>
      </c>
      <c r="C703" s="45" t="str">
        <f>IF(LEFT(A703,1)="S","",VLOOKUP(B703,$AC$4:$AE$734,3)-'Quoting term rates'!$C$4)</f>
        <v/>
      </c>
      <c r="E703" s="45" t="str">
        <f t="shared" si="202"/>
        <v/>
      </c>
      <c r="AC703" s="1">
        <f t="shared" si="198"/>
        <v>46453</v>
      </c>
      <c r="AD703">
        <f>IF(VLOOKUP(AC703,'FOMC exp '!$C$6:$C$22,1)=AC703,MATCH(AC703,'FOMC exp '!$C$6:$C$22,1),AD702)</f>
        <v>16</v>
      </c>
      <c r="AE703" s="18" cm="1">
        <f t="array" ref="AE703">INDEX('FOMC exp '!$C$6:$D$23,AD703,2)</f>
        <v>4.4999999999999998E-2</v>
      </c>
    </row>
    <row r="704" spans="1:31">
      <c r="A704" t="str">
        <f t="shared" si="192"/>
        <v>Monday</v>
      </c>
      <c r="B704" s="1">
        <f t="shared" si="193"/>
        <v>46454</v>
      </c>
      <c r="C704" s="45">
        <f>IF(LEFT(A704,1)="S","",VLOOKUP(B704,$AC$4:$AE$734,3)-'Quoting term rates'!$C$4)</f>
        <v>4.3299999999999998E-2</v>
      </c>
      <c r="D704">
        <f t="shared" si="195"/>
        <v>1.0878301703901982</v>
      </c>
      <c r="E704" s="45">
        <f t="shared" si="202"/>
        <v>4.5169801914959097E-2</v>
      </c>
      <c r="AC704" s="1">
        <f t="shared" si="198"/>
        <v>46454</v>
      </c>
      <c r="AD704">
        <f>IF(VLOOKUP(AC704,'FOMC exp '!$C$6:$C$22,1)=AC704,MATCH(AC704,'FOMC exp '!$C$6:$C$22,1),AD703)</f>
        <v>16</v>
      </c>
      <c r="AE704" s="18" cm="1">
        <f t="array" ref="AE704">INDEX('FOMC exp '!$C$6:$D$23,AD704,2)</f>
        <v>4.4999999999999998E-2</v>
      </c>
    </row>
    <row r="705" spans="1:31">
      <c r="A705" t="str">
        <f t="shared" si="192"/>
        <v>Tuesday</v>
      </c>
      <c r="B705" s="1">
        <f t="shared" si="193"/>
        <v>46455</v>
      </c>
      <c r="C705" s="45">
        <f>IF(LEFT(A705,1)="S","",VLOOKUP(B705,$AC$4:$AE$734,3)-'Quoting term rates'!$C$4)</f>
        <v>4.3299999999999998E-2</v>
      </c>
      <c r="D705">
        <f t="shared" ref="D705:D708" si="205">D704*(1+C704*1/360)</f>
        <v>1.0879610121856924</v>
      </c>
      <c r="E705" s="45">
        <f t="shared" si="202"/>
        <v>4.5172559752994675E-2</v>
      </c>
      <c r="AC705" s="1">
        <f t="shared" si="198"/>
        <v>46455</v>
      </c>
      <c r="AD705">
        <f>IF(VLOOKUP(AC705,'FOMC exp '!$C$6:$C$22,1)=AC705,MATCH(AC705,'FOMC exp '!$C$6:$C$22,1),AD704)</f>
        <v>16</v>
      </c>
      <c r="AE705" s="18" cm="1">
        <f t="array" ref="AE705">INDEX('FOMC exp '!$C$6:$D$23,AD705,2)</f>
        <v>4.4999999999999998E-2</v>
      </c>
    </row>
    <row r="706" spans="1:31">
      <c r="A706" t="str">
        <f t="shared" si="192"/>
        <v>Wednesday</v>
      </c>
      <c r="B706" s="1">
        <f t="shared" si="193"/>
        <v>46456</v>
      </c>
      <c r="C706" s="45">
        <f>IF(LEFT(A706,1)="S","",VLOOKUP(B706,$AC$4:$AE$734,3)-'Quoting term rates'!$C$4)</f>
        <v>4.3299999999999998E-2</v>
      </c>
      <c r="D706">
        <f t="shared" si="205"/>
        <v>1.0880918697185469</v>
      </c>
      <c r="E706" s="45">
        <f t="shared" si="202"/>
        <v>4.5175317804383011E-2</v>
      </c>
      <c r="AC706" s="1">
        <f t="shared" si="198"/>
        <v>46456</v>
      </c>
      <c r="AD706">
        <f>IF(VLOOKUP(AC706,'FOMC exp '!$C$6:$C$22,1)=AC706,MATCH(AC706,'FOMC exp '!$C$6:$C$22,1),AD705)</f>
        <v>16</v>
      </c>
      <c r="AE706" s="18" cm="1">
        <f t="array" ref="AE706">INDEX('FOMC exp '!$C$6:$D$23,AD706,2)</f>
        <v>4.4999999999999998E-2</v>
      </c>
    </row>
    <row r="707" spans="1:31">
      <c r="A707" t="str">
        <f t="shared" si="192"/>
        <v>Thursday</v>
      </c>
      <c r="B707" s="1">
        <f t="shared" si="193"/>
        <v>46457</v>
      </c>
      <c r="C707" s="45">
        <f>IF(LEFT(A707,1)="S","",VLOOKUP(B707,$AC$4:$AE$734,3)-'Quoting term rates'!$C$4)</f>
        <v>4.3299999999999998E-2</v>
      </c>
      <c r="D707">
        <f t="shared" si="205"/>
        <v>1.0882227429906548</v>
      </c>
      <c r="E707" s="45">
        <f t="shared" si="202"/>
        <v>4.5178076069183115E-2</v>
      </c>
      <c r="AC707" s="1">
        <f t="shared" si="198"/>
        <v>46457</v>
      </c>
      <c r="AD707">
        <f>IF(VLOOKUP(AC707,'FOMC exp '!$C$6:$C$22,1)=AC707,MATCH(AC707,'FOMC exp '!$C$6:$C$22,1),AD706)</f>
        <v>16</v>
      </c>
      <c r="AE707" s="18" cm="1">
        <f t="array" ref="AE707">INDEX('FOMC exp '!$C$6:$D$23,AD707,2)</f>
        <v>4.4999999999999998E-2</v>
      </c>
    </row>
    <row r="708" spans="1:31">
      <c r="A708" t="str">
        <f t="shared" si="192"/>
        <v>Friday</v>
      </c>
      <c r="B708" s="1">
        <f t="shared" si="193"/>
        <v>46458</v>
      </c>
      <c r="C708" s="45">
        <f>IF(LEFT(A708,1)="S","",VLOOKUP(B708,$AC$4:$AE$734,3)-'Quoting term rates'!$C$4)</f>
        <v>4.3299999999999998E-2</v>
      </c>
      <c r="D708">
        <f t="shared" si="205"/>
        <v>1.0883536320039089</v>
      </c>
      <c r="E708" s="45">
        <f t="shared" si="202"/>
        <v>4.5180834547453412E-2</v>
      </c>
      <c r="AC708" s="1">
        <f t="shared" si="198"/>
        <v>46458</v>
      </c>
      <c r="AD708">
        <f>IF(VLOOKUP(AC708,'FOMC exp '!$C$6:$C$22,1)=AC708,MATCH(AC708,'FOMC exp '!$C$6:$C$22,1),AD707)</f>
        <v>16</v>
      </c>
      <c r="AE708" s="18" cm="1">
        <f t="array" ref="AE708">INDEX('FOMC exp '!$C$6:$D$23,AD708,2)</f>
        <v>4.4999999999999998E-2</v>
      </c>
    </row>
    <row r="709" spans="1:31">
      <c r="A709" t="str">
        <f t="shared" ref="A709:A734" si="206">VLOOKUP(WEEKDAY(B709,2),$Z$2:$AA$8,2)</f>
        <v>Saturday</v>
      </c>
      <c r="B709" s="1">
        <f t="shared" si="193"/>
        <v>46459</v>
      </c>
      <c r="C709" s="45" t="str">
        <f>IF(LEFT(A709,1)="S","",VLOOKUP(B709,$AC$4:$AE$734,3)-'Quoting term rates'!$C$4)</f>
        <v/>
      </c>
      <c r="E709" s="45" t="str">
        <f t="shared" si="202"/>
        <v/>
      </c>
      <c r="AC709" s="1">
        <f t="shared" si="198"/>
        <v>46459</v>
      </c>
      <c r="AD709">
        <f>IF(VLOOKUP(AC709,'FOMC exp '!$C$6:$C$22,1)=AC709,MATCH(AC709,'FOMC exp '!$C$6:$C$22,1),AD708)</f>
        <v>16</v>
      </c>
      <c r="AE709" s="18" cm="1">
        <f t="array" ref="AE709">INDEX('FOMC exp '!$C$6:$D$23,AD709,2)</f>
        <v>4.4999999999999998E-2</v>
      </c>
    </row>
    <row r="710" spans="1:31">
      <c r="A710" t="str">
        <f t="shared" si="206"/>
        <v>Sunday</v>
      </c>
      <c r="B710" s="1">
        <f t="shared" ref="B710:B734" si="207">B709+1</f>
        <v>46460</v>
      </c>
      <c r="C710" s="45" t="str">
        <f>IF(LEFT(A710,1)="S","",VLOOKUP(B710,$AC$4:$AE$734,3)-'Quoting term rates'!$C$4)</f>
        <v/>
      </c>
      <c r="E710" s="45" t="str">
        <f t="shared" si="202"/>
        <v/>
      </c>
      <c r="AC710" s="1">
        <f t="shared" si="198"/>
        <v>46460</v>
      </c>
      <c r="AD710">
        <f>IF(VLOOKUP(AC710,'FOMC exp '!$C$6:$C$22,1)=AC710,MATCH(AC710,'FOMC exp '!$C$6:$C$22,1),AD709)</f>
        <v>16</v>
      </c>
      <c r="AE710" s="18" cm="1">
        <f t="array" ref="AE710">INDEX('FOMC exp '!$C$6:$D$23,AD710,2)</f>
        <v>4.4999999999999998E-2</v>
      </c>
    </row>
    <row r="711" spans="1:31">
      <c r="A711" t="str">
        <f t="shared" si="206"/>
        <v>Monday</v>
      </c>
      <c r="B711" s="1">
        <f t="shared" si="207"/>
        <v>46461</v>
      </c>
      <c r="C711" s="45">
        <f>IF(LEFT(A711,1)="S","",VLOOKUP(B711,$AC$4:$AE$734,3)-'Quoting term rates'!$C$4)</f>
        <v>4.3299999999999998E-2</v>
      </c>
      <c r="D711">
        <f t="shared" si="195"/>
        <v>1.0887463462727904</v>
      </c>
      <c r="E711" s="45">
        <f t="shared" si="202"/>
        <v>4.5189087211038974E-2</v>
      </c>
      <c r="AC711" s="1">
        <f t="shared" si="198"/>
        <v>46461</v>
      </c>
      <c r="AD711">
        <f>IF(VLOOKUP(AC711,'FOMC exp '!$C$6:$C$22,1)=AC711,MATCH(AC711,'FOMC exp '!$C$6:$C$22,1),AD710)</f>
        <v>16</v>
      </c>
      <c r="AE711" s="18" cm="1">
        <f t="array" ref="AE711">INDEX('FOMC exp '!$C$6:$D$23,AD711,2)</f>
        <v>4.4999999999999998E-2</v>
      </c>
    </row>
    <row r="712" spans="1:31">
      <c r="A712" t="str">
        <f t="shared" si="206"/>
        <v>Tuesday</v>
      </c>
      <c r="B712" s="1">
        <f t="shared" si="207"/>
        <v>46462</v>
      </c>
      <c r="C712" s="45">
        <f>IF(LEFT(A712,1)="S","",VLOOKUP(B712,$AC$4:$AE$734,3)-'Quoting term rates'!$C$4)</f>
        <v>4.3299999999999998E-2</v>
      </c>
      <c r="D712">
        <f t="shared" ref="D712:D715" si="208">D711*(1+C711*1/360)</f>
        <v>1.0888772982638839</v>
      </c>
      <c r="E712" s="45">
        <f t="shared" si="202"/>
        <v>4.5191846574856226E-2</v>
      </c>
      <c r="AC712" s="1">
        <f t="shared" si="198"/>
        <v>46462</v>
      </c>
      <c r="AD712">
        <f>IF(VLOOKUP(AC712,'FOMC exp '!$C$6:$C$22,1)=AC712,MATCH(AC712,'FOMC exp '!$C$6:$C$22,1),AD711)</f>
        <v>16</v>
      </c>
      <c r="AE712" s="18" cm="1">
        <f t="array" ref="AE712">INDEX('FOMC exp '!$C$6:$D$23,AD712,2)</f>
        <v>4.4999999999999998E-2</v>
      </c>
    </row>
    <row r="713" spans="1:31">
      <c r="A713" t="str">
        <f t="shared" si="206"/>
        <v>Wednesday</v>
      </c>
      <c r="B713" s="1">
        <f t="shared" si="207"/>
        <v>46463</v>
      </c>
      <c r="C713" s="45">
        <f>IF(LEFT(A713,1)="S","",VLOOKUP(B713,$AC$4:$AE$734,3)-'Quoting term rates'!$C$4)</f>
        <v>4.3299999999999998E-2</v>
      </c>
      <c r="D713">
        <f t="shared" si="208"/>
        <v>1.0890082660055918</v>
      </c>
      <c r="E713" s="45">
        <f t="shared" si="202"/>
        <v>4.51946061523456E-2</v>
      </c>
      <c r="AC713" s="1">
        <f t="shared" si="198"/>
        <v>46463</v>
      </c>
      <c r="AD713">
        <f>IF(VLOOKUP(AC713,'FOMC exp '!$C$6:$C$22,1)=AC713,MATCH(AC713,'FOMC exp '!$C$6:$C$22,1),AD712)</f>
        <v>16</v>
      </c>
      <c r="AE713" s="18" cm="1">
        <f t="array" ref="AE713">INDEX('FOMC exp '!$C$6:$D$23,AD713,2)</f>
        <v>4.4999999999999998E-2</v>
      </c>
    </row>
    <row r="714" spans="1:31">
      <c r="A714" t="str">
        <f t="shared" si="206"/>
        <v>Thursday</v>
      </c>
      <c r="B714" s="1">
        <f t="shared" si="207"/>
        <v>46464</v>
      </c>
      <c r="C714" s="45">
        <f>IF(LEFT(A714,1)="S","",VLOOKUP(B714,$AC$4:$AE$734,3)-'Quoting term rates'!$C$4)</f>
        <v>4.3299999999999998E-2</v>
      </c>
      <c r="D714">
        <f t="shared" si="208"/>
        <v>1.0891392494998084</v>
      </c>
      <c r="E714" s="45">
        <f t="shared" si="202"/>
        <v>4.5197365943564848E-2</v>
      </c>
      <c r="AC714" s="1">
        <f t="shared" si="198"/>
        <v>46464</v>
      </c>
      <c r="AD714">
        <f>IF(VLOOKUP(AC714,'FOMC exp '!$C$6:$C$22,1)=AC714,MATCH(AC714,'FOMC exp '!$C$6:$C$22,1),AD713)</f>
        <v>16</v>
      </c>
      <c r="AE714" s="18" cm="1">
        <f t="array" ref="AE714">INDEX('FOMC exp '!$C$6:$D$23,AD714,2)</f>
        <v>4.4999999999999998E-2</v>
      </c>
    </row>
    <row r="715" spans="1:31">
      <c r="A715" t="str">
        <f t="shared" si="206"/>
        <v>Friday</v>
      </c>
      <c r="B715" s="1">
        <f t="shared" si="207"/>
        <v>46465</v>
      </c>
      <c r="C715" s="45">
        <f>IF(LEFT(A715,1)="S","",VLOOKUP(B715,$AC$4:$AE$734,3)-'Quoting term rates'!$C$4)</f>
        <v>4.3299999999999998E-2</v>
      </c>
      <c r="D715">
        <f t="shared" si="208"/>
        <v>1.0892702487484289</v>
      </c>
      <c r="E715" s="45">
        <f t="shared" si="202"/>
        <v>4.5200125948571611E-2</v>
      </c>
      <c r="AC715" s="1">
        <f t="shared" si="198"/>
        <v>46465</v>
      </c>
      <c r="AD715">
        <f>IF(VLOOKUP(AC715,'FOMC exp '!$C$6:$C$22,1)=AC715,MATCH(AC715,'FOMC exp '!$C$6:$C$22,1),AD714)</f>
        <v>17</v>
      </c>
      <c r="AE715" s="18" cm="1">
        <f t="array" ref="AE715">INDEX('FOMC exp '!$C$6:$D$23,AD715,2)</f>
        <v>4.4999999999999998E-2</v>
      </c>
    </row>
    <row r="716" spans="1:31">
      <c r="A716" t="str">
        <f t="shared" si="206"/>
        <v>Saturday</v>
      </c>
      <c r="B716" s="1">
        <f t="shared" si="207"/>
        <v>46466</v>
      </c>
      <c r="C716" s="45" t="str">
        <f>IF(LEFT(A716,1)="S","",VLOOKUP(B716,$AC$4:$AE$734,3)-'Quoting term rates'!$C$4)</f>
        <v/>
      </c>
      <c r="E716" s="45" t="str">
        <f t="shared" si="202"/>
        <v/>
      </c>
      <c r="AC716" s="1">
        <f t="shared" si="198"/>
        <v>46466</v>
      </c>
      <c r="AD716">
        <f>IF(VLOOKUP(AC716,'FOMC exp '!$C$6:$C$22,1)=AC716,MATCH(AC716,'FOMC exp '!$C$6:$C$22,1),AD715)</f>
        <v>17</v>
      </c>
      <c r="AE716" s="18" cm="1">
        <f t="array" ref="AE716">INDEX('FOMC exp '!$C$6:$D$23,AD716,2)</f>
        <v>4.4999999999999998E-2</v>
      </c>
    </row>
    <row r="717" spans="1:31">
      <c r="A717" t="str">
        <f t="shared" si="206"/>
        <v>Sunday</v>
      </c>
      <c r="B717" s="1">
        <f t="shared" si="207"/>
        <v>46467</v>
      </c>
      <c r="C717" s="45" t="str">
        <f>IF(LEFT(A717,1)="S","",VLOOKUP(B717,$AC$4:$AE$734,3)-'Quoting term rates'!$C$4)</f>
        <v/>
      </c>
      <c r="E717" s="45" t="str">
        <f t="shared" si="202"/>
        <v/>
      </c>
      <c r="AC717" s="1">
        <f t="shared" si="198"/>
        <v>46467</v>
      </c>
      <c r="AD717">
        <f>IF(VLOOKUP(AC717,'FOMC exp '!$C$6:$C$22,1)=AC717,MATCH(AC717,'FOMC exp '!$C$6:$C$22,1),AD716)</f>
        <v>17</v>
      </c>
      <c r="AE717" s="18" cm="1">
        <f t="array" ref="AE717">INDEX('FOMC exp '!$C$6:$D$23,AD717,2)</f>
        <v>4.4999999999999998E-2</v>
      </c>
    </row>
    <row r="718" spans="1:31">
      <c r="A718" t="str">
        <f t="shared" si="206"/>
        <v>Monday</v>
      </c>
      <c r="B718" s="1">
        <f t="shared" si="207"/>
        <v>46468</v>
      </c>
      <c r="C718" s="45">
        <f>IF(LEFT(A718,1)="S","",VLOOKUP(B718,$AC$4:$AE$734,3)-'Quoting term rates'!$C$4)</f>
        <v>4.3299999999999998E-2</v>
      </c>
      <c r="D718">
        <f t="shared" si="195"/>
        <v>1.0896632937631856</v>
      </c>
      <c r="E718" s="45">
        <f t="shared" si="202"/>
        <v>4.5208383410009552E-2</v>
      </c>
      <c r="AC718" s="1">
        <f t="shared" si="198"/>
        <v>46468</v>
      </c>
      <c r="AD718">
        <f>IF(VLOOKUP(AC718,'FOMC exp '!$C$6:$C$22,1)=AC718,MATCH(AC718,'FOMC exp '!$C$6:$C$22,1),AD717)</f>
        <v>17</v>
      </c>
      <c r="AE718" s="18" cm="1">
        <f t="array" ref="AE718">INDEX('FOMC exp '!$C$6:$D$23,AD718,2)</f>
        <v>4.4999999999999998E-2</v>
      </c>
    </row>
    <row r="719" spans="1:31">
      <c r="A719" t="str">
        <f t="shared" si="206"/>
        <v>Tuesday</v>
      </c>
      <c r="B719" s="1">
        <f t="shared" si="207"/>
        <v>46469</v>
      </c>
      <c r="C719" s="45">
        <f>IF(LEFT(A719,1)="S","",VLOOKUP(B719,$AC$4:$AE$734,3)-'Quoting term rates'!$C$4)</f>
        <v>4.3299999999999998E-2</v>
      </c>
      <c r="D719">
        <f t="shared" ref="D719:D722" si="209">D718*(1+C718*1/360)</f>
        <v>1.0897943560426855</v>
      </c>
      <c r="E719" s="45">
        <f t="shared" si="202"/>
        <v>4.5211144301212272E-2</v>
      </c>
      <c r="AC719" s="1">
        <f t="shared" si="198"/>
        <v>46469</v>
      </c>
      <c r="AD719">
        <f>IF(VLOOKUP(AC719,'FOMC exp '!$C$6:$C$22,1)=AC719,MATCH(AC719,'FOMC exp '!$C$6:$C$22,1),AD718)</f>
        <v>17</v>
      </c>
      <c r="AE719" s="18" cm="1">
        <f t="array" ref="AE719">INDEX('FOMC exp '!$C$6:$D$23,AD719,2)</f>
        <v>4.4999999999999998E-2</v>
      </c>
    </row>
    <row r="720" spans="1:31">
      <c r="A720" t="str">
        <f t="shared" si="206"/>
        <v>Wednesday</v>
      </c>
      <c r="B720" s="1">
        <f t="shared" si="207"/>
        <v>46470</v>
      </c>
      <c r="C720" s="45">
        <f>IF(LEFT(A720,1)="S","",VLOOKUP(B720,$AC$4:$AE$734,3)-'Quoting term rates'!$C$4)</f>
        <v>4.3299999999999998E-2</v>
      </c>
      <c r="D720">
        <f t="shared" si="209"/>
        <v>1.0899254340860651</v>
      </c>
      <c r="E720" s="45">
        <f t="shared" si="202"/>
        <v>4.521390540640146E-2</v>
      </c>
      <c r="AC720" s="1">
        <f t="shared" si="198"/>
        <v>46470</v>
      </c>
      <c r="AD720">
        <f>IF(VLOOKUP(AC720,'FOMC exp '!$C$6:$C$22,1)=AC720,MATCH(AC720,'FOMC exp '!$C$6:$C$22,1),AD719)</f>
        <v>17</v>
      </c>
      <c r="AE720" s="18" cm="1">
        <f t="array" ref="AE720">INDEX('FOMC exp '!$C$6:$D$23,AD720,2)</f>
        <v>4.4999999999999998E-2</v>
      </c>
    </row>
    <row r="721" spans="1:31">
      <c r="A721" t="str">
        <f t="shared" si="206"/>
        <v>Thursday</v>
      </c>
      <c r="B721" s="1">
        <f t="shared" si="207"/>
        <v>46471</v>
      </c>
      <c r="C721" s="45">
        <f>IF(LEFT(A721,1)="S","",VLOOKUP(B721,$AC$4:$AE$734,3)-'Quoting term rates'!$C$4)</f>
        <v>4.3299999999999998E-2</v>
      </c>
      <c r="D721">
        <f t="shared" si="209"/>
        <v>1.0900565278952206</v>
      </c>
      <c r="E721" s="45">
        <f t="shared" si="202"/>
        <v>4.5216666725633757E-2</v>
      </c>
      <c r="AC721" s="1">
        <f t="shared" si="198"/>
        <v>46471</v>
      </c>
      <c r="AD721">
        <f>IF(VLOOKUP(AC721,'FOMC exp '!$C$6:$C$22,1)=AC721,MATCH(AC721,'FOMC exp '!$C$6:$C$22,1),AD720)</f>
        <v>17</v>
      </c>
      <c r="AE721" s="18" cm="1">
        <f t="array" ref="AE721">INDEX('FOMC exp '!$C$6:$D$23,AD721,2)</f>
        <v>4.4999999999999998E-2</v>
      </c>
    </row>
    <row r="722" spans="1:31">
      <c r="A722" t="str">
        <f t="shared" si="206"/>
        <v>Friday</v>
      </c>
      <c r="B722" s="1">
        <f t="shared" si="207"/>
        <v>46472</v>
      </c>
      <c r="C722" s="45">
        <f>IF(LEFT(A722,1)="S","",VLOOKUP(B722,$AC$4:$AE$734,3)-'Quoting term rates'!$C$4)</f>
        <v>4.3299999999999998E-2</v>
      </c>
      <c r="D722">
        <f t="shared" si="209"/>
        <v>1.0901876374720481</v>
      </c>
      <c r="E722" s="45">
        <f t="shared" si="202"/>
        <v>4.5219428258965598E-2</v>
      </c>
      <c r="AC722" s="1">
        <f t="shared" si="198"/>
        <v>46472</v>
      </c>
      <c r="AD722">
        <f>IF(VLOOKUP(AC722,'FOMC exp '!$C$6:$C$22,1)=AC722,MATCH(AC722,'FOMC exp '!$C$6:$C$22,1),AD721)</f>
        <v>17</v>
      </c>
      <c r="AE722" s="18" cm="1">
        <f t="array" ref="AE722">INDEX('FOMC exp '!$C$6:$D$23,AD722,2)</f>
        <v>4.4999999999999998E-2</v>
      </c>
    </row>
    <row r="723" spans="1:31">
      <c r="A723" t="str">
        <f t="shared" si="206"/>
        <v>Saturday</v>
      </c>
      <c r="B723" s="1">
        <f t="shared" si="207"/>
        <v>46473</v>
      </c>
      <c r="C723" s="45" t="str">
        <f>IF(LEFT(A723,1)="S","",VLOOKUP(B723,$AC$4:$AE$734,3)-'Quoting term rates'!$C$4)</f>
        <v/>
      </c>
      <c r="E723" s="45" t="str">
        <f t="shared" si="202"/>
        <v/>
      </c>
      <c r="AC723" s="1">
        <f t="shared" si="198"/>
        <v>46473</v>
      </c>
      <c r="AD723">
        <f>IF(VLOOKUP(AC723,'FOMC exp '!$C$6:$C$22,1)=AC723,MATCH(AC723,'FOMC exp '!$C$6:$C$22,1),AD722)</f>
        <v>17</v>
      </c>
      <c r="AE723" s="18" cm="1">
        <f t="array" ref="AE723">INDEX('FOMC exp '!$C$6:$D$23,AD723,2)</f>
        <v>4.4999999999999998E-2</v>
      </c>
    </row>
    <row r="724" spans="1:31">
      <c r="A724" t="str">
        <f t="shared" si="206"/>
        <v>Sunday</v>
      </c>
      <c r="B724" s="1">
        <f t="shared" si="207"/>
        <v>46474</v>
      </c>
      <c r="C724" s="45" t="str">
        <f>IF(LEFT(A724,1)="S","",VLOOKUP(B724,$AC$4:$AE$734,3)-'Quoting term rates'!$C$4)</f>
        <v/>
      </c>
      <c r="E724" s="45" t="str">
        <f t="shared" si="202"/>
        <v/>
      </c>
      <c r="AC724" s="1">
        <f t="shared" si="198"/>
        <v>46474</v>
      </c>
      <c r="AD724">
        <f>IF(VLOOKUP(AC724,'FOMC exp '!$C$6:$C$22,1)=AC724,MATCH(AC724,'FOMC exp '!$C$6:$C$22,1),AD723)</f>
        <v>17</v>
      </c>
      <c r="AE724" s="18" cm="1">
        <f t="array" ref="AE724">INDEX('FOMC exp '!$C$6:$D$23,AD724,2)</f>
        <v>4.4999999999999998E-2</v>
      </c>
    </row>
    <row r="725" spans="1:31">
      <c r="A725" t="str">
        <f t="shared" si="206"/>
        <v>Monday</v>
      </c>
      <c r="B725" s="1">
        <f t="shared" si="207"/>
        <v>46475</v>
      </c>
      <c r="C725" s="45">
        <f>IF(LEFT(A725,1)="S","",VLOOKUP(B725,$AC$4:$AE$734,3)-'Quoting term rates'!$C$4)</f>
        <v>4.3299999999999998E-2</v>
      </c>
      <c r="D725">
        <f t="shared" ref="D725:D732" si="210">D722*(1+C722*3/360)</f>
        <v>1.0905810135112359</v>
      </c>
      <c r="E725" s="45">
        <f t="shared" si="202"/>
        <v>4.522769051878632E-2</v>
      </c>
      <c r="AC725" s="1">
        <f t="shared" si="198"/>
        <v>46475</v>
      </c>
      <c r="AD725">
        <f>IF(VLOOKUP(AC725,'FOMC exp '!$C$6:$C$22,1)=AC725,MATCH(AC725,'FOMC exp '!$C$6:$C$22,1),AD724)</f>
        <v>17</v>
      </c>
      <c r="AE725" s="18" cm="1">
        <f t="array" ref="AE725">INDEX('FOMC exp '!$C$6:$D$23,AD725,2)</f>
        <v>4.4999999999999998E-2</v>
      </c>
    </row>
    <row r="726" spans="1:31">
      <c r="A726" t="str">
        <f t="shared" si="206"/>
        <v>Tuesday</v>
      </c>
      <c r="B726" s="1">
        <f t="shared" si="207"/>
        <v>46476</v>
      </c>
      <c r="C726" s="45">
        <f>IF(LEFT(A726,1)="S","",VLOOKUP(B726,$AC$4:$AE$734,3)-'Quoting term rates'!$C$4)</f>
        <v>4.3299999999999998E-2</v>
      </c>
      <c r="D726">
        <f t="shared" ref="D726:D729" si="211">D725*(1+C725*1/360)</f>
        <v>1.0907121861720277</v>
      </c>
      <c r="E726" s="45">
        <f t="shared" si="202"/>
        <v>4.5230452938961184E-2</v>
      </c>
      <c r="AC726" s="1">
        <f t="shared" si="198"/>
        <v>46476</v>
      </c>
      <c r="AD726">
        <f>IF(VLOOKUP(AC726,'FOMC exp '!$C$6:$C$22,1)=AC726,MATCH(AC726,'FOMC exp '!$C$6:$C$22,1),AD725)</f>
        <v>17</v>
      </c>
      <c r="AE726" s="18" cm="1">
        <f t="array" ref="AE726">INDEX('FOMC exp '!$C$6:$D$23,AD726,2)</f>
        <v>4.4999999999999998E-2</v>
      </c>
    </row>
    <row r="727" spans="1:31">
      <c r="A727" t="str">
        <f t="shared" si="206"/>
        <v>Wednesday</v>
      </c>
      <c r="B727" s="1">
        <f t="shared" si="207"/>
        <v>46477</v>
      </c>
      <c r="C727" s="45">
        <f>IF(LEFT(A727,1)="S","",VLOOKUP(B727,$AC$4:$AE$734,3)-'Quoting term rates'!$C$4)</f>
        <v>4.3299999999999998E-2</v>
      </c>
      <c r="D727">
        <f t="shared" si="211"/>
        <v>1.0908433746099757</v>
      </c>
      <c r="E727" s="45">
        <f t="shared" si="202"/>
        <v>4.5233215573431886E-2</v>
      </c>
      <c r="AC727" s="1">
        <f t="shared" si="198"/>
        <v>46477</v>
      </c>
      <c r="AD727">
        <f>IF(VLOOKUP(AC727,'FOMC exp '!$C$6:$C$22,1)=AC727,MATCH(AC727,'FOMC exp '!$C$6:$C$22,1),AD726)</f>
        <v>17</v>
      </c>
      <c r="AE727" s="18" cm="1">
        <f t="array" ref="AE727">INDEX('FOMC exp '!$C$6:$D$23,AD727,2)</f>
        <v>4.4999999999999998E-2</v>
      </c>
    </row>
    <row r="728" spans="1:31">
      <c r="A728" t="str">
        <f t="shared" si="206"/>
        <v>Thursday</v>
      </c>
      <c r="B728" s="1">
        <f t="shared" si="207"/>
        <v>46478</v>
      </c>
      <c r="C728" s="45">
        <f>IF(LEFT(A728,1)="S","",VLOOKUP(B728,$AC$4:$AE$734,3)-'Quoting term rates'!$C$4)</f>
        <v>4.3299999999999998E-2</v>
      </c>
      <c r="D728">
        <f t="shared" si="211"/>
        <v>1.0909745788269773</v>
      </c>
      <c r="E728" s="45">
        <f t="shared" si="202"/>
        <v>4.5235978422253929E-2</v>
      </c>
      <c r="AC728" s="1">
        <f t="shared" ref="AC728:AC733" si="212">B728</f>
        <v>46478</v>
      </c>
      <c r="AD728">
        <f>IF(VLOOKUP(AC728,'FOMC exp '!$C$6:$C$22,1)=AC728,MATCH(AC728,'FOMC exp '!$C$6:$C$22,1),AD727)</f>
        <v>17</v>
      </c>
      <c r="AE728" s="18" cm="1">
        <f t="array" ref="AE728">INDEX('FOMC exp '!$C$6:$D$23,AD728,2)</f>
        <v>4.4999999999999998E-2</v>
      </c>
    </row>
    <row r="729" spans="1:31">
      <c r="A729" t="str">
        <f t="shared" si="206"/>
        <v>Friday</v>
      </c>
      <c r="B729" s="1">
        <f t="shared" si="207"/>
        <v>46479</v>
      </c>
      <c r="C729" s="45">
        <f>IF(LEFT(A729,1)="S","",VLOOKUP(B729,$AC$4:$AE$734,3)-'Quoting term rates'!$C$4)</f>
        <v>4.3299999999999998E-2</v>
      </c>
      <c r="D729">
        <f t="shared" si="211"/>
        <v>1.0911057988249306</v>
      </c>
      <c r="E729" s="45">
        <f t="shared" si="202"/>
        <v>4.5238741485482799E-2</v>
      </c>
      <c r="AC729" s="1">
        <f t="shared" si="212"/>
        <v>46479</v>
      </c>
      <c r="AD729">
        <f>IF(VLOOKUP(AC729,'FOMC exp '!$C$6:$C$22,1)=AC729,MATCH(AC729,'FOMC exp '!$C$6:$C$22,1),AD728)</f>
        <v>17</v>
      </c>
      <c r="AE729" s="18" cm="1">
        <f t="array" ref="AE729">INDEX('FOMC exp '!$C$6:$D$23,AD729,2)</f>
        <v>4.4999999999999998E-2</v>
      </c>
    </row>
    <row r="730" spans="1:31">
      <c r="A730" t="str">
        <f t="shared" si="206"/>
        <v>Saturday</v>
      </c>
      <c r="B730" s="1">
        <f t="shared" si="207"/>
        <v>46480</v>
      </c>
      <c r="C730" s="45" t="str">
        <f>IF(LEFT(A730,1)="S","",VLOOKUP(B730,$AC$4:$AE$734,3)-'Quoting term rates'!$C$4)</f>
        <v/>
      </c>
      <c r="E730" s="45" t="str">
        <f t="shared" si="202"/>
        <v/>
      </c>
      <c r="AC730" s="1">
        <f t="shared" si="212"/>
        <v>46480</v>
      </c>
      <c r="AD730">
        <f>IF(VLOOKUP(AC730,'FOMC exp '!$C$6:$C$22,1)=AC730,MATCH(AC730,'FOMC exp '!$C$6:$C$22,1),AD729)</f>
        <v>17</v>
      </c>
      <c r="AE730" s="18" cm="1">
        <f t="array" ref="AE730">INDEX('FOMC exp '!$C$6:$D$23,AD730,2)</f>
        <v>4.4999999999999998E-2</v>
      </c>
    </row>
    <row r="731" spans="1:31">
      <c r="A731" t="str">
        <f t="shared" si="206"/>
        <v>Sunday</v>
      </c>
      <c r="B731" s="1">
        <f t="shared" si="207"/>
        <v>46481</v>
      </c>
      <c r="C731" s="45" t="str">
        <f>IF(LEFT(A731,1)="S","",VLOOKUP(B731,$AC$4:$AE$734,3)-'Quoting term rates'!$C$4)</f>
        <v/>
      </c>
      <c r="E731" s="45" t="str">
        <f t="shared" si="202"/>
        <v/>
      </c>
      <c r="AC731" s="1">
        <f t="shared" si="212"/>
        <v>46481</v>
      </c>
      <c r="AD731">
        <f>IF(VLOOKUP(AC731,'FOMC exp '!$C$6:$C$22,1)=AC731,MATCH(AC731,'FOMC exp '!$C$6:$C$22,1),AD730)</f>
        <v>17</v>
      </c>
      <c r="AE731" s="18" cm="1">
        <f t="array" ref="AE731">INDEX('FOMC exp '!$C$6:$D$23,AD731,2)</f>
        <v>4.4999999999999998E-2</v>
      </c>
    </row>
    <row r="732" spans="1:31">
      <c r="A732" t="str">
        <f t="shared" si="206"/>
        <v>Monday</v>
      </c>
      <c r="B732" s="1">
        <f t="shared" si="207"/>
        <v>46482</v>
      </c>
      <c r="C732" s="45">
        <f>IF(LEFT(A732,1)="S","",VLOOKUP(B732,$AC$4:$AE$734,3)-'Quoting term rates'!$C$4)</f>
        <v>4.3299999999999998E-2</v>
      </c>
      <c r="D732">
        <f t="shared" si="210"/>
        <v>1.09149950616734</v>
      </c>
      <c r="E732" s="45">
        <f t="shared" si="202"/>
        <v>4.5247008544289029E-2</v>
      </c>
      <c r="AC732" s="1">
        <f t="shared" si="212"/>
        <v>46482</v>
      </c>
      <c r="AD732">
        <f>IF(VLOOKUP(AC732,'FOMC exp '!$C$6:$C$22,1)=AC732,MATCH(AC732,'FOMC exp '!$C$6:$C$22,1),AD731)</f>
        <v>17</v>
      </c>
      <c r="AE732" s="18" cm="1">
        <f t="array" ref="AE732">INDEX('FOMC exp '!$C$6:$D$23,AD732,2)</f>
        <v>4.4999999999999998E-2</v>
      </c>
    </row>
    <row r="733" spans="1:31">
      <c r="A733" t="str">
        <f t="shared" si="206"/>
        <v>Tuesday</v>
      </c>
      <c r="B733" s="1">
        <f t="shared" si="207"/>
        <v>46483</v>
      </c>
      <c r="C733" s="45">
        <f>IF(LEFT(A733,1)="S","",VLOOKUP(B733,$AC$4:$AE$734,3)-'Quoting term rates'!$C$4)</f>
        <v>4.3299999999999998E-2</v>
      </c>
      <c r="D733">
        <f t="shared" ref="D733:D734" si="213">D732*(1+C732*1/360)</f>
        <v>1.0916307893023873</v>
      </c>
      <c r="E733" s="45">
        <f t="shared" si="202"/>
        <v>4.5249772495006085E-2</v>
      </c>
      <c r="AC733" s="1">
        <f t="shared" si="212"/>
        <v>46483</v>
      </c>
      <c r="AD733">
        <f>IF(VLOOKUP(AC733,'FOMC exp '!$C$6:$C$22,1)=AC733,MATCH(AC733,'FOMC exp '!$C$6:$C$22,1),AD732)</f>
        <v>17</v>
      </c>
      <c r="AE733" s="18" cm="1">
        <f t="array" ref="AE733">INDEX('FOMC exp '!$C$6:$D$23,AD733,2)</f>
        <v>4.4999999999999998E-2</v>
      </c>
    </row>
    <row r="734" spans="1:31">
      <c r="A734" t="str">
        <f t="shared" si="206"/>
        <v>Wednesday</v>
      </c>
      <c r="B734" s="1">
        <f t="shared" si="207"/>
        <v>46484</v>
      </c>
      <c r="C734" s="45">
        <f>IF(LEFT(A734,1)="S","",VLOOKUP(B734,$AC$4:$AE$734,3)-'Quoting term rates'!$C$4)</f>
        <v>4.3299999999999998E-2</v>
      </c>
      <c r="D734">
        <f t="shared" si="213"/>
        <v>1.0917620882278785</v>
      </c>
      <c r="E734" s="45">
        <f t="shared" si="202"/>
        <v>4.5252536660323625E-2</v>
      </c>
      <c r="AC734" s="1">
        <f>B734</f>
        <v>46484</v>
      </c>
      <c r="AD734">
        <f>IF(VLOOKUP(AC734,'FOMC exp '!$C$6:$C$22,1)=AC734,MATCH(AC734,'FOMC exp '!$C$6:$C$22,1),AD733)</f>
        <v>17</v>
      </c>
      <c r="AE734" s="18" cm="1">
        <f t="array" ref="AE734">INDEX('FOMC exp '!$C$6:$D$23,AD734,2)</f>
        <v>4.4999999999999998E-2</v>
      </c>
    </row>
  </sheetData>
  <phoneticPr fontId="3" type="noConversion"/>
  <conditionalFormatting sqref="C4:C734">
    <cfRule type="colorScale" priority="1">
      <colorScale>
        <cfvo type="min"/>
        <cfvo type="max"/>
        <color rgb="FFF8696B"/>
        <color rgb="FFFCFCFF"/>
      </colorScale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F5CBB9-69E5-492E-84DF-4047CDD94232}">
  <sheetPr>
    <tabColor rgb="FFFFFF00"/>
  </sheetPr>
  <dimension ref="A1:G110"/>
  <sheetViews>
    <sheetView zoomScale="55" zoomScaleNormal="55" workbookViewId="0">
      <selection activeCell="C16" sqref="C16"/>
    </sheetView>
  </sheetViews>
  <sheetFormatPr defaultRowHeight="28.5"/>
  <cols>
    <col min="2" max="2" width="10.59765625" bestFit="1" customWidth="1"/>
    <col min="3" max="3" width="24.33203125" customWidth="1"/>
    <col min="4" max="4" width="15" bestFit="1" customWidth="1"/>
    <col min="5" max="5" width="18.265625" bestFit="1" customWidth="1"/>
    <col min="6" max="6" width="17.3984375" bestFit="1" customWidth="1"/>
    <col min="7" max="7" width="9.6640625" bestFit="1" customWidth="1"/>
    <col min="8" max="8" width="11.265625" bestFit="1" customWidth="1"/>
  </cols>
  <sheetData>
    <row r="1" spans="1:7">
      <c r="A1" t="s">
        <v>62</v>
      </c>
    </row>
    <row r="3" spans="1:7">
      <c r="B3" s="21" t="s">
        <v>63</v>
      </c>
    </row>
    <row r="4" spans="1:7">
      <c r="B4" s="22" t="s">
        <v>5</v>
      </c>
      <c r="C4">
        <v>360</v>
      </c>
    </row>
    <row r="5" spans="1:7">
      <c r="A5" s="22" t="s">
        <v>40</v>
      </c>
      <c r="B5" s="19" t="s">
        <v>41</v>
      </c>
      <c r="C5" s="19" t="s">
        <v>64</v>
      </c>
      <c r="D5" s="19" t="s">
        <v>65</v>
      </c>
      <c r="E5" s="19" t="s">
        <v>66</v>
      </c>
    </row>
    <row r="6" spans="1:7">
      <c r="A6" s="39" t="str">
        <f>'Your &amp; cons term structure'!A4</f>
        <v>Monday</v>
      </c>
      <c r="B6" s="1">
        <f>'Your &amp; cons term structure'!B4</f>
        <v>45754</v>
      </c>
      <c r="C6" s="46">
        <f>'Your &amp; cons term structure'!C4</f>
        <v>4.3299999999999998E-2</v>
      </c>
      <c r="D6" s="7">
        <f>'Your &amp; cons term structure'!D4</f>
        <v>1</v>
      </c>
      <c r="E6" s="4"/>
    </row>
    <row r="7" spans="1:7">
      <c r="A7" s="39" t="str">
        <f>'Your &amp; cons term structure'!A5</f>
        <v>Tuesday</v>
      </c>
      <c r="B7" s="1">
        <f>'Your &amp; cons term structure'!B5</f>
        <v>45755</v>
      </c>
      <c r="C7" s="46">
        <f>'Your &amp; cons term structure'!C5</f>
        <v>4.3299999999999998E-2</v>
      </c>
      <c r="D7" s="7">
        <f>'Your &amp; cons term structure'!D5</f>
        <v>1.0001202777777778</v>
      </c>
      <c r="E7" s="4"/>
    </row>
    <row r="8" spans="1:7">
      <c r="A8" s="39" t="str">
        <f>'Your &amp; cons term structure'!A6</f>
        <v>Wednesday</v>
      </c>
      <c r="B8" s="1">
        <f>'Your &amp; cons term structure'!B6</f>
        <v>45756</v>
      </c>
      <c r="C8" s="46">
        <f>'Your &amp; cons term structure'!C6</f>
        <v>4.3299999999999998E-2</v>
      </c>
      <c r="D8" s="7">
        <f>'Your &amp; cons term structure'!D6</f>
        <v>1.0002405700222994</v>
      </c>
      <c r="E8" s="4"/>
    </row>
    <row r="9" spans="1:7">
      <c r="A9" s="39" t="str">
        <f>'Your &amp; cons term structure'!A7</f>
        <v>Thursday</v>
      </c>
      <c r="B9" s="1">
        <f>'Your &amp; cons term structure'!B7</f>
        <v>45757</v>
      </c>
      <c r="C9" s="46">
        <f>'Your &amp; cons term structure'!C7</f>
        <v>4.3299999999999998E-2</v>
      </c>
      <c r="D9" s="7">
        <f>'Your &amp; cons term structure'!D7</f>
        <v>1.0003608767353049</v>
      </c>
      <c r="E9" s="4"/>
      <c r="F9" s="19"/>
      <c r="G9" s="19"/>
    </row>
    <row r="10" spans="1:7">
      <c r="A10" s="39" t="str">
        <f>'Your &amp; cons term structure'!A8</f>
        <v>Friday</v>
      </c>
      <c r="B10" s="1">
        <f>'Your &amp; cons term structure'!B8</f>
        <v>45758</v>
      </c>
      <c r="C10" s="46">
        <f>'Your &amp; cons term structure'!C8</f>
        <v>4.3299999999999998E-2</v>
      </c>
      <c r="D10" s="7">
        <f>'Your &amp; cons term structure'!D8</f>
        <v>1.0004811979185344</v>
      </c>
      <c r="F10" s="29"/>
      <c r="G10" s="29"/>
    </row>
    <row r="11" spans="1:7">
      <c r="A11" s="39" t="str">
        <f>'Your &amp; cons term structure'!A9</f>
        <v>Saturday</v>
      </c>
      <c r="B11" s="1">
        <f>'Your &amp; cons term structure'!B9</f>
        <v>45759</v>
      </c>
      <c r="C11" s="46" t="str">
        <f>'Your &amp; cons term structure'!C9</f>
        <v/>
      </c>
      <c r="D11" s="7"/>
      <c r="E11" s="26"/>
      <c r="F11" s="29"/>
      <c r="G11" s="29"/>
    </row>
    <row r="12" spans="1:7">
      <c r="A12" s="39" t="str">
        <f>'Your &amp; cons term structure'!A10</f>
        <v>Sunday</v>
      </c>
      <c r="B12" s="1">
        <f>'Your &amp; cons term structure'!B10</f>
        <v>45760</v>
      </c>
      <c r="C12" s="46" t="str">
        <f>'Your &amp; cons term structure'!C10</f>
        <v/>
      </c>
      <c r="D12" s="7"/>
      <c r="E12" s="26"/>
      <c r="F12" s="29"/>
      <c r="G12" s="29"/>
    </row>
    <row r="13" spans="1:7">
      <c r="A13" s="39" t="str">
        <f>'Your &amp; cons term structure'!A11</f>
        <v>Monday</v>
      </c>
      <c r="B13" s="1">
        <f>'Your &amp; cons term structure'!B11</f>
        <v>45761</v>
      </c>
      <c r="C13" s="46"/>
      <c r="D13" s="7">
        <f>'Your &amp; cons term structure'!D11</f>
        <v>1.0008422048841168</v>
      </c>
      <c r="E13" s="25"/>
      <c r="F13" s="268" t="b">
        <f>'Your &amp; cons term structure'!K4='Overnight index swaps &lt; 1y'!E13</f>
        <v>0</v>
      </c>
      <c r="G13" s="29"/>
    </row>
    <row r="14" spans="1:7">
      <c r="A14" s="39"/>
      <c r="B14" s="1"/>
      <c r="C14" s="46"/>
      <c r="D14" s="7"/>
      <c r="E14" s="26"/>
      <c r="F14" s="268"/>
      <c r="G14" s="29"/>
    </row>
    <row r="15" spans="1:7">
      <c r="C15" s="21" t="s">
        <v>67</v>
      </c>
    </row>
    <row r="16" spans="1:7">
      <c r="C16" s="25"/>
      <c r="D16" s="33" t="b">
        <f>C16='Your &amp; cons term structure'!K6</f>
        <v>0</v>
      </c>
    </row>
    <row r="17" spans="1:6">
      <c r="B17" s="22" t="s">
        <v>5</v>
      </c>
      <c r="C17">
        <v>360</v>
      </c>
    </row>
    <row r="18" spans="1:6">
      <c r="A18" s="19" t="s">
        <v>40</v>
      </c>
      <c r="B18" s="19" t="s">
        <v>41</v>
      </c>
      <c r="C18" s="19" t="s">
        <v>68</v>
      </c>
      <c r="D18" s="19" t="s">
        <v>65</v>
      </c>
      <c r="F18" s="19"/>
    </row>
    <row r="19" spans="1:6">
      <c r="A19" t="str">
        <f>'Your &amp; cons term structure'!A4</f>
        <v>Monday</v>
      </c>
      <c r="B19" s="1">
        <f>'Your &amp; cons term structure'!B4</f>
        <v>45754</v>
      </c>
      <c r="C19" s="46">
        <f>'Your &amp; cons term structure'!C4</f>
        <v>4.3299999999999998E-2</v>
      </c>
      <c r="D19" s="4">
        <f>'Your &amp; cons term structure'!D4</f>
        <v>1</v>
      </c>
      <c r="E19" s="4"/>
      <c r="F19" s="4"/>
    </row>
    <row r="20" spans="1:6">
      <c r="A20" t="str">
        <f>'Your &amp; cons term structure'!A5</f>
        <v>Tuesday</v>
      </c>
      <c r="B20" s="1">
        <f>'Your &amp; cons term structure'!B5</f>
        <v>45755</v>
      </c>
      <c r="C20" s="46">
        <f>'Your &amp; cons term structure'!C5</f>
        <v>4.3299999999999998E-2</v>
      </c>
      <c r="D20" s="4">
        <f>'Your &amp; cons term structure'!D5</f>
        <v>1.0001202777777778</v>
      </c>
      <c r="E20" s="4"/>
      <c r="F20" s="4"/>
    </row>
    <row r="21" spans="1:6">
      <c r="A21" t="str">
        <f>'Your &amp; cons term structure'!A6</f>
        <v>Wednesday</v>
      </c>
      <c r="B21" s="1">
        <f>'Your &amp; cons term structure'!B6</f>
        <v>45756</v>
      </c>
      <c r="C21" s="46">
        <f>'Your &amp; cons term structure'!C6</f>
        <v>4.3299999999999998E-2</v>
      </c>
      <c r="D21" s="4">
        <f>'Your &amp; cons term structure'!D6</f>
        <v>1.0002405700222994</v>
      </c>
      <c r="E21" s="4"/>
      <c r="F21" s="4"/>
    </row>
    <row r="22" spans="1:6">
      <c r="A22" t="str">
        <f>'Your &amp; cons term structure'!A7</f>
        <v>Thursday</v>
      </c>
      <c r="B22" s="1">
        <f>'Your &amp; cons term structure'!B7</f>
        <v>45757</v>
      </c>
      <c r="C22" s="46">
        <f>'Your &amp; cons term structure'!C7</f>
        <v>4.3299999999999998E-2</v>
      </c>
      <c r="D22" s="4">
        <f>'Your &amp; cons term structure'!D7</f>
        <v>1.0003608767353049</v>
      </c>
      <c r="E22" s="4"/>
      <c r="F22" s="4"/>
    </row>
    <row r="23" spans="1:6">
      <c r="A23" t="str">
        <f>'Your &amp; cons term structure'!A8</f>
        <v>Friday</v>
      </c>
      <c r="B23" s="1">
        <f>'Your &amp; cons term structure'!B8</f>
        <v>45758</v>
      </c>
      <c r="C23" s="46">
        <f>'Your &amp; cons term structure'!C8</f>
        <v>4.3299999999999998E-2</v>
      </c>
      <c r="D23" s="4">
        <f>'Your &amp; cons term structure'!D8</f>
        <v>1.0004811979185344</v>
      </c>
      <c r="E23" s="4"/>
    </row>
    <row r="24" spans="1:6">
      <c r="A24" t="str">
        <f>'Your &amp; cons term structure'!A9</f>
        <v>Saturday</v>
      </c>
      <c r="B24" s="1">
        <f>'Your &amp; cons term structure'!B9</f>
        <v>45759</v>
      </c>
      <c r="C24" s="46" t="str">
        <f>'Your &amp; cons term structure'!C9</f>
        <v/>
      </c>
      <c r="D24" s="4">
        <f>'Your &amp; cons term structure'!D9</f>
        <v>0</v>
      </c>
      <c r="E24" s="4"/>
    </row>
    <row r="25" spans="1:6">
      <c r="A25" t="str">
        <f>'Your &amp; cons term structure'!A10</f>
        <v>Sunday</v>
      </c>
      <c r="B25" s="1">
        <f>'Your &amp; cons term structure'!B10</f>
        <v>45760</v>
      </c>
      <c r="C25" s="46" t="str">
        <f>'Your &amp; cons term structure'!C10</f>
        <v/>
      </c>
      <c r="D25" s="4">
        <f>'Your &amp; cons term structure'!D10</f>
        <v>0</v>
      </c>
      <c r="E25" s="4"/>
    </row>
    <row r="26" spans="1:6">
      <c r="A26" t="str">
        <f>'Your &amp; cons term structure'!A11</f>
        <v>Monday</v>
      </c>
      <c r="B26" s="1">
        <f>'Your &amp; cons term structure'!B11</f>
        <v>45761</v>
      </c>
      <c r="C26" s="46">
        <f>'Your &amp; cons term structure'!C11</f>
        <v>4.3299999999999998E-2</v>
      </c>
      <c r="D26" s="4">
        <f>'Your &amp; cons term structure'!D11</f>
        <v>1.0008422048841168</v>
      </c>
      <c r="E26" s="4"/>
    </row>
    <row r="27" spans="1:6">
      <c r="A27" t="str">
        <f>'Your &amp; cons term structure'!A12</f>
        <v>Tuesday</v>
      </c>
      <c r="B27" s="1">
        <f>'Your &amp; cons term structure'!B12</f>
        <v>45762</v>
      </c>
      <c r="C27" s="46">
        <f>'Your &amp; cons term structure'!C12</f>
        <v>4.3299999999999998E-2</v>
      </c>
      <c r="D27" s="4">
        <f>'Your &amp; cons term structure'!D12</f>
        <v>1.0009625839604264</v>
      </c>
      <c r="E27" s="4"/>
    </row>
    <row r="28" spans="1:6">
      <c r="A28" t="str">
        <f>'Your &amp; cons term structure'!A13</f>
        <v>Wednesday</v>
      </c>
      <c r="B28" s="1">
        <f>'Your &amp; cons term structure'!B13</f>
        <v>45763</v>
      </c>
      <c r="C28" s="46">
        <f>'Your &amp; cons term structure'!C13</f>
        <v>4.3299999999999998E-2</v>
      </c>
      <c r="D28" s="4">
        <f>'Your &amp; cons term structure'!D13</f>
        <v>1.0010829775156638</v>
      </c>
      <c r="E28" s="4"/>
    </row>
    <row r="29" spans="1:6">
      <c r="A29" t="str">
        <f>'Your &amp; cons term structure'!A14</f>
        <v>Thursday</v>
      </c>
      <c r="B29" s="1">
        <f>'Your &amp; cons term structure'!B14</f>
        <v>45764</v>
      </c>
      <c r="C29" s="46">
        <f>'Your &amp; cons term structure'!C14</f>
        <v>4.3299999999999998E-2</v>
      </c>
      <c r="D29" s="4">
        <f>'Your &amp; cons term structure'!D14</f>
        <v>1.0012033855515705</v>
      </c>
      <c r="E29" s="4"/>
    </row>
    <row r="30" spans="1:6">
      <c r="A30" t="str">
        <f>'Your &amp; cons term structure'!A15</f>
        <v>Friday</v>
      </c>
      <c r="B30" s="1">
        <f>'Your &amp; cons term structure'!B15</f>
        <v>45765</v>
      </c>
      <c r="C30" s="46">
        <f>'Your &amp; cons term structure'!C15</f>
        <v>4.3299999999999998E-2</v>
      </c>
      <c r="D30" s="4">
        <f>'Your &amp; cons term structure'!D15</f>
        <v>1.0013238080698883</v>
      </c>
      <c r="E30" s="4"/>
    </row>
    <row r="31" spans="1:6">
      <c r="A31" t="str">
        <f>'Your &amp; cons term structure'!A16</f>
        <v>Saturday</v>
      </c>
      <c r="B31" s="1">
        <f>'Your &amp; cons term structure'!B16</f>
        <v>45766</v>
      </c>
      <c r="C31" s="46" t="str">
        <f>'Your &amp; cons term structure'!C16</f>
        <v/>
      </c>
      <c r="D31" s="4">
        <f>'Your &amp; cons term structure'!D16</f>
        <v>0</v>
      </c>
      <c r="E31" s="4"/>
    </row>
    <row r="32" spans="1:6">
      <c r="A32" t="str">
        <f>'Your &amp; cons term structure'!A17</f>
        <v>Sunday</v>
      </c>
      <c r="B32" s="1">
        <f>'Your &amp; cons term structure'!B17</f>
        <v>45767</v>
      </c>
      <c r="C32" s="46" t="str">
        <f>'Your &amp; cons term structure'!C17</f>
        <v/>
      </c>
      <c r="D32" s="4">
        <f>'Your &amp; cons term structure'!D17</f>
        <v>0</v>
      </c>
      <c r="E32" s="4"/>
    </row>
    <row r="33" spans="1:6">
      <c r="A33" t="str">
        <f>'Your &amp; cons term structure'!A18</f>
        <v>Monday</v>
      </c>
      <c r="B33" s="1">
        <f>'Your &amp; cons term structure'!B18</f>
        <v>45768</v>
      </c>
      <c r="C33" s="46">
        <f>'Your &amp; cons term structure'!C18</f>
        <v>4.3299999999999998E-2</v>
      </c>
      <c r="D33" s="4">
        <f>'Your &amp; cons term structure'!D18</f>
        <v>1.0016851190773002</v>
      </c>
      <c r="E33" s="4"/>
    </row>
    <row r="34" spans="1:6">
      <c r="A34" t="str">
        <f>'Your &amp; cons term structure'!A19</f>
        <v>Tuesday</v>
      </c>
      <c r="B34" s="1">
        <f>'Your &amp; cons term structure'!B19</f>
        <v>45769</v>
      </c>
      <c r="C34" s="46">
        <f>'Your &amp; cons term structure'!C19</f>
        <v>4.3299999999999998E-2</v>
      </c>
      <c r="D34" s="4">
        <f>'Your &amp; cons term structure'!D19</f>
        <v>1.001805599537456</v>
      </c>
      <c r="E34" s="4"/>
    </row>
    <row r="35" spans="1:6">
      <c r="A35" t="str">
        <f>'Your &amp; cons term structure'!A20</f>
        <v>Wednesday</v>
      </c>
      <c r="B35" s="1">
        <f>'Your &amp; cons term structure'!B20</f>
        <v>45770</v>
      </c>
      <c r="C35" s="46">
        <f>'Your &amp; cons term structure'!C20</f>
        <v>4.3299999999999998E-2</v>
      </c>
      <c r="D35" s="4">
        <f>'Your &amp; cons term structure'!D20</f>
        <v>1.0019260944887336</v>
      </c>
      <c r="E35" s="4"/>
    </row>
    <row r="36" spans="1:6">
      <c r="A36" t="str">
        <f>'Your &amp; cons term structure'!A21</f>
        <v>Thursday</v>
      </c>
      <c r="B36" s="1">
        <f>'Your &amp; cons term structure'!B21</f>
        <v>45771</v>
      </c>
      <c r="C36" s="46">
        <f>'Your &amp; cons term structure'!C21</f>
        <v>4.3299999999999998E-2</v>
      </c>
      <c r="D36" s="4">
        <f>'Your &amp; cons term structure'!D21</f>
        <v>1.0020466039328764</v>
      </c>
      <c r="E36" s="4"/>
    </row>
    <row r="37" spans="1:6">
      <c r="A37" t="str">
        <f>'Your &amp; cons term structure'!A22</f>
        <v>Friday</v>
      </c>
      <c r="B37" s="1">
        <f>'Your &amp; cons term structure'!B22</f>
        <v>45772</v>
      </c>
      <c r="C37" s="46">
        <f>'Your &amp; cons term structure'!C22</f>
        <v>4.3299999999999998E-2</v>
      </c>
      <c r="D37" s="4">
        <f>'Your &amp; cons term structure'!D22</f>
        <v>1.0021671278716271</v>
      </c>
      <c r="E37" s="4"/>
    </row>
    <row r="38" spans="1:6">
      <c r="A38" t="str">
        <f>'Your &amp; cons term structure'!A23</f>
        <v>Saturday</v>
      </c>
      <c r="B38" s="1">
        <f>'Your &amp; cons term structure'!B23</f>
        <v>45773</v>
      </c>
      <c r="C38" s="46" t="str">
        <f>'Your &amp; cons term structure'!C23</f>
        <v/>
      </c>
      <c r="D38" s="4">
        <f>'Your &amp; cons term structure'!D23</f>
        <v>0</v>
      </c>
      <c r="E38" s="4"/>
    </row>
    <row r="39" spans="1:6">
      <c r="A39" t="str">
        <f>'Your &amp; cons term structure'!A24</f>
        <v>Sunday</v>
      </c>
      <c r="B39" s="1">
        <f>'Your &amp; cons term structure'!B24</f>
        <v>45774</v>
      </c>
      <c r="C39" s="46" t="str">
        <f>'Your &amp; cons term structure'!C24</f>
        <v/>
      </c>
      <c r="D39" s="4">
        <f>'Your &amp; cons term structure'!D24</f>
        <v>0</v>
      </c>
      <c r="E39" s="4"/>
    </row>
    <row r="40" spans="1:6">
      <c r="A40" t="str">
        <f>'Your &amp; cons term structure'!A25</f>
        <v>Monday</v>
      </c>
      <c r="B40" s="1">
        <f>'Your &amp; cons term structure'!B25</f>
        <v>45775</v>
      </c>
      <c r="C40" s="46">
        <f>'Your &amp; cons term structure'!C25</f>
        <v>4.3299999999999998E-2</v>
      </c>
      <c r="D40" s="4">
        <f>'Your &amp; cons term structure'!D25</f>
        <v>1.0025287431769341</v>
      </c>
      <c r="E40" s="4"/>
    </row>
    <row r="41" spans="1:6">
      <c r="A41" t="str">
        <f>'Your &amp; cons term structure'!A26</f>
        <v>Tuesday</v>
      </c>
      <c r="B41" s="1">
        <f>'Your &amp; cons term structure'!B26</f>
        <v>45776</v>
      </c>
      <c r="C41" s="46">
        <f>'Your &amp; cons term structure'!C26</f>
        <v>4.3299999999999998E-2</v>
      </c>
      <c r="D41" s="4">
        <f>'Your &amp; cons term structure'!D26</f>
        <v>1.0026493251063218</v>
      </c>
      <c r="E41" s="4"/>
    </row>
    <row r="42" spans="1:6">
      <c r="A42" t="str">
        <f>'Your &amp; cons term structure'!A27</f>
        <v>Wednesday</v>
      </c>
      <c r="B42" s="1">
        <f>'Your &amp; cons term structure'!B27</f>
        <v>45777</v>
      </c>
      <c r="C42" s="46">
        <f>'Your &amp; cons term structure'!C27</f>
        <v>4.3299999999999998E-2</v>
      </c>
      <c r="D42" s="4">
        <f>'Your &amp; cons term structure'!D27</f>
        <v>1.002769921539036</v>
      </c>
      <c r="E42" s="4"/>
    </row>
    <row r="43" spans="1:6">
      <c r="A43" t="str">
        <f>'Your &amp; cons term structure'!A28</f>
        <v>Thursday</v>
      </c>
      <c r="B43" s="1">
        <f>'Your &amp; cons term structure'!B28</f>
        <v>45778</v>
      </c>
      <c r="C43" s="46">
        <f>'Your &amp; cons term structure'!C28</f>
        <v>4.3299999999999998E-2</v>
      </c>
      <c r="D43" s="4">
        <f>'Your &amp; cons term structure'!D28</f>
        <v>1.0028905324768211</v>
      </c>
      <c r="E43" s="4"/>
    </row>
    <row r="44" spans="1:6">
      <c r="A44" t="str">
        <f>'Your &amp; cons term structure'!A29</f>
        <v>Friday</v>
      </c>
      <c r="B44" s="1">
        <f>'Your &amp; cons term structure'!B29</f>
        <v>45779</v>
      </c>
      <c r="C44" s="46">
        <f>'Your &amp; cons term structure'!C29</f>
        <v>4.3299999999999998E-2</v>
      </c>
      <c r="D44" s="4">
        <f>'Your &amp; cons term structure'!D29</f>
        <v>1.0030111579214218</v>
      </c>
      <c r="E44" s="4"/>
    </row>
    <row r="45" spans="1:6">
      <c r="A45" t="str">
        <f>'Your &amp; cons term structure'!A30</f>
        <v>Saturday</v>
      </c>
      <c r="B45" s="1">
        <f>'Your &amp; cons term structure'!B30</f>
        <v>45780</v>
      </c>
      <c r="C45" s="46" t="str">
        <f>'Your &amp; cons term structure'!C30</f>
        <v/>
      </c>
      <c r="D45" s="4">
        <f>'Your &amp; cons term structure'!D30</f>
        <v>0</v>
      </c>
      <c r="E45" s="4"/>
    </row>
    <row r="46" spans="1:6">
      <c r="A46" t="str">
        <f>'Your &amp; cons term structure'!A31</f>
        <v>Sunday</v>
      </c>
      <c r="B46" s="1">
        <f>'Your &amp; cons term structure'!B31</f>
        <v>45781</v>
      </c>
      <c r="C46" s="46" t="str">
        <f>'Your &amp; cons term structure'!C31</f>
        <v/>
      </c>
      <c r="D46" s="4">
        <f>'Your &amp; cons term structure'!D31</f>
        <v>0</v>
      </c>
      <c r="E46" s="4"/>
    </row>
    <row r="47" spans="1:6">
      <c r="A47" t="str">
        <f>'Your &amp; cons term structure'!A32</f>
        <v>Monday</v>
      </c>
      <c r="B47" s="1">
        <f>'Your &amp; cons term structure'!B32</f>
        <v>45782</v>
      </c>
      <c r="C47" s="46">
        <f>'Your &amp; cons term structure'!C32</f>
        <v>4.3299999999999998E-2</v>
      </c>
      <c r="D47" s="4">
        <f>'Your &amp; cons term structure'!D32</f>
        <v>1.0033730777809051</v>
      </c>
      <c r="E47" s="4"/>
    </row>
    <row r="48" spans="1:6">
      <c r="A48" t="str">
        <f>'Your &amp; cons term structure'!A33</f>
        <v>Tuesday</v>
      </c>
      <c r="B48" s="1">
        <f>'Your &amp; cons term structure'!B33</f>
        <v>45783</v>
      </c>
      <c r="C48" s="46">
        <f>'Your &amp; cons term structure'!C33</f>
        <v>4.3299999999999998E-2</v>
      </c>
      <c r="D48" s="4">
        <f>'Your &amp; cons term structure'!D33</f>
        <v>1.0034937612649826</v>
      </c>
      <c r="E48" s="4"/>
      <c r="F48" s="26"/>
    </row>
    <row r="49" spans="1:6">
      <c r="A49" t="str">
        <f>'Your &amp; cons term structure'!A34</f>
        <v>Wednesday</v>
      </c>
      <c r="B49" s="1">
        <f>'Your &amp; cons term structure'!B34</f>
        <v>45784</v>
      </c>
      <c r="C49" s="46">
        <f>'Your &amp; cons term structure'!C34</f>
        <v>4.3299999999999998E-2</v>
      </c>
      <c r="D49" s="4">
        <f>'Your &amp; cons term structure'!D34</f>
        <v>1.0036144592646015</v>
      </c>
      <c r="E49" s="4"/>
      <c r="F49" s="26"/>
    </row>
    <row r="50" spans="1:6">
      <c r="A50" t="str">
        <f>'Your &amp; cons term structure'!A35</f>
        <v>Thursday</v>
      </c>
      <c r="B50" s="1">
        <f>'Your &amp; cons term structure'!B35</f>
        <v>45785</v>
      </c>
      <c r="C50" s="46">
        <f>'Your &amp; cons term structure'!C35</f>
        <v>4.3299999999999998E-2</v>
      </c>
      <c r="D50" s="4">
        <f>'Your &amp; cons term structure'!D35</f>
        <v>1.0037351717815075</v>
      </c>
      <c r="E50" s="4"/>
      <c r="F50" s="26"/>
    </row>
    <row r="51" spans="1:6">
      <c r="A51" t="str">
        <f>'Your &amp; cons term structure'!A36</f>
        <v>Friday</v>
      </c>
      <c r="B51" s="1">
        <f>'Your &amp; cons term structure'!B36</f>
        <v>45786</v>
      </c>
      <c r="C51" s="46">
        <f>'Your &amp; cons term structure'!C36</f>
        <v>4.3299999999999998E-2</v>
      </c>
      <c r="D51" s="4">
        <f>'Your &amp; cons term structure'!D36</f>
        <v>1.0038558988174469</v>
      </c>
      <c r="E51" s="4"/>
    </row>
    <row r="52" spans="1:6">
      <c r="A52" t="str">
        <f>'Your &amp; cons term structure'!A37</f>
        <v>Saturday</v>
      </c>
      <c r="B52" s="1">
        <f>'Your &amp; cons term structure'!B37</f>
        <v>45787</v>
      </c>
      <c r="C52" s="46" t="str">
        <f>'Your &amp; cons term structure'!C37</f>
        <v/>
      </c>
      <c r="D52" s="4">
        <f>'Your &amp; cons term structure'!D37</f>
        <v>0</v>
      </c>
      <c r="E52" s="4"/>
    </row>
    <row r="53" spans="1:6">
      <c r="A53" t="str">
        <f>'Your &amp; cons term structure'!A38</f>
        <v>Sunday</v>
      </c>
      <c r="B53" s="1">
        <f>'Your &amp; cons term structure'!B38</f>
        <v>45788</v>
      </c>
      <c r="C53" s="46" t="str">
        <f>'Your &amp; cons term structure'!C38</f>
        <v/>
      </c>
      <c r="D53" s="4">
        <f>'Your &amp; cons term structure'!D38</f>
        <v>0</v>
      </c>
      <c r="E53" s="4"/>
    </row>
    <row r="54" spans="1:6">
      <c r="A54" t="str">
        <f>'Your &amp; cons term structure'!A39</f>
        <v>Monday</v>
      </c>
      <c r="B54" s="1">
        <f>'Your &amp; cons term structure'!B39</f>
        <v>45789</v>
      </c>
      <c r="C54" s="46">
        <f>'Your &amp; cons term structure'!C39</f>
        <v>4.3299999999999998E-2</v>
      </c>
      <c r="D54" s="4">
        <f>'Your &amp; cons term structure'!D39</f>
        <v>1.0042181234876035</v>
      </c>
      <c r="E54" s="4"/>
    </row>
    <row r="55" spans="1:6">
      <c r="A55" t="str">
        <f>'Your &amp; cons term structure'!A40</f>
        <v>Tuesday</v>
      </c>
      <c r="B55" s="1">
        <f>'Your &amp; cons term structure'!B40</f>
        <v>45790</v>
      </c>
      <c r="C55" s="46">
        <f>'Your &amp; cons term structure'!C40</f>
        <v>4.3299999999999998E-2</v>
      </c>
      <c r="D55" s="4">
        <f>'Your &amp; cons term structure'!D40</f>
        <v>1.0043389086119008</v>
      </c>
      <c r="E55" s="4"/>
    </row>
    <row r="56" spans="1:6">
      <c r="A56" t="str">
        <f>'Your &amp; cons term structure'!A41</f>
        <v>Wednesday</v>
      </c>
      <c r="B56" s="1">
        <f>'Your &amp; cons term structure'!B41</f>
        <v>45791</v>
      </c>
      <c r="C56" s="46">
        <f>'Your &amp; cons term structure'!C41</f>
        <v>4.3299999999999998E-2</v>
      </c>
      <c r="D56" s="4">
        <f>'Your &amp; cons term structure'!D41</f>
        <v>1.0044597082639644</v>
      </c>
      <c r="E56" s="4"/>
    </row>
    <row r="57" spans="1:6">
      <c r="A57" t="str">
        <f>'Your &amp; cons term structure'!A42</f>
        <v>Thursday</v>
      </c>
      <c r="B57" s="1">
        <f>'Your &amp; cons term structure'!B42</f>
        <v>45792</v>
      </c>
      <c r="C57" s="46">
        <f>'Your &amp; cons term structure'!C42</f>
        <v>4.3299999999999998E-2</v>
      </c>
      <c r="D57" s="4">
        <f>'Your &amp; cons term structure'!D42</f>
        <v>1.0045805224455417</v>
      </c>
      <c r="E57" s="4"/>
    </row>
    <row r="58" spans="1:6">
      <c r="A58" t="str">
        <f>'Your &amp; cons term structure'!A43</f>
        <v>Friday</v>
      </c>
      <c r="B58" s="1">
        <f>'Your &amp; cons term structure'!B43</f>
        <v>45793</v>
      </c>
      <c r="C58" s="46">
        <f>'Your &amp; cons term structure'!C43</f>
        <v>4.3299999999999998E-2</v>
      </c>
      <c r="D58" s="4">
        <f>'Your &amp; cons term structure'!D43</f>
        <v>1.0047013511583804</v>
      </c>
      <c r="E58" s="4"/>
    </row>
    <row r="59" spans="1:6">
      <c r="A59" t="str">
        <f>'Your &amp; cons term structure'!A44</f>
        <v>Saturday</v>
      </c>
      <c r="B59" s="1">
        <f>'Your &amp; cons term structure'!B44</f>
        <v>45794</v>
      </c>
      <c r="C59" s="46" t="str">
        <f>'Your &amp; cons term structure'!C44</f>
        <v/>
      </c>
      <c r="D59" s="4">
        <f>'Your &amp; cons term structure'!D44</f>
        <v>0</v>
      </c>
      <c r="E59" s="4"/>
    </row>
    <row r="60" spans="1:6">
      <c r="A60" t="str">
        <f>'Your &amp; cons term structure'!A45</f>
        <v>Sunday</v>
      </c>
      <c r="B60" s="1">
        <f>'Your &amp; cons term structure'!B45</f>
        <v>45795</v>
      </c>
      <c r="C60" s="46" t="str">
        <f>'Your &amp; cons term structure'!C45</f>
        <v/>
      </c>
      <c r="D60" s="4">
        <f>'Your &amp; cons term structure'!D45</f>
        <v>0</v>
      </c>
      <c r="E60" s="4"/>
    </row>
    <row r="61" spans="1:6">
      <c r="A61" t="str">
        <f>'Your &amp; cons term structure'!A46</f>
        <v>Monday</v>
      </c>
      <c r="B61" s="1">
        <f>'Your &amp; cons term structure'!B46</f>
        <v>45796</v>
      </c>
      <c r="C61" s="46">
        <f>'Your &amp; cons term structure'!C46</f>
        <v>4.3299999999999998E-2</v>
      </c>
      <c r="D61" s="4">
        <f>'Your &amp; cons term structure'!D46</f>
        <v>1.0050638808959234</v>
      </c>
      <c r="E61" s="4"/>
    </row>
    <row r="62" spans="1:6">
      <c r="A62" t="str">
        <f>'Your &amp; cons term structure'!A47</f>
        <v>Tuesday</v>
      </c>
      <c r="B62" s="1">
        <f>'Your &amp; cons term structure'!B47</f>
        <v>45797</v>
      </c>
      <c r="C62" s="46">
        <f>'Your &amp; cons term structure'!C47</f>
        <v>4.3299999999999998E-2</v>
      </c>
      <c r="D62" s="4">
        <f>'Your &amp; cons term structure'!D47</f>
        <v>1.0051847677460422</v>
      </c>
      <c r="E62" s="4"/>
    </row>
    <row r="63" spans="1:6">
      <c r="A63" t="str">
        <f>'Your &amp; cons term structure'!A48</f>
        <v>Wednesday</v>
      </c>
      <c r="B63" s="1">
        <f>'Your &amp; cons term structure'!B48</f>
        <v>45798</v>
      </c>
      <c r="C63" s="46">
        <f>'Your &amp; cons term structure'!C48</f>
        <v>4.3299999999999998E-2</v>
      </c>
      <c r="D63" s="4">
        <f>'Your &amp; cons term structure'!D48</f>
        <v>1.0053056691361628</v>
      </c>
      <c r="E63" s="4"/>
    </row>
    <row r="64" spans="1:6">
      <c r="A64" t="str">
        <f>'Your &amp; cons term structure'!A49</f>
        <v>Thursday</v>
      </c>
      <c r="B64" s="1">
        <f>'Your &amp; cons term structure'!B49</f>
        <v>45799</v>
      </c>
      <c r="C64" s="46">
        <f>'Your &amp; cons term structure'!C49</f>
        <v>4.3299999999999998E-2</v>
      </c>
      <c r="D64" s="4">
        <f>'Your &amp; cons term structure'!D49</f>
        <v>1.005426585068034</v>
      </c>
      <c r="E64" s="4"/>
    </row>
    <row r="65" spans="1:5">
      <c r="A65" t="str">
        <f>'Your &amp; cons term structure'!A50</f>
        <v>Friday</v>
      </c>
      <c r="B65" s="1">
        <f>'Your &amp; cons term structure'!B50</f>
        <v>45800</v>
      </c>
      <c r="C65" s="46">
        <f>'Your &amp; cons term structure'!C50</f>
        <v>4.3299999999999998E-2</v>
      </c>
      <c r="D65" s="4">
        <f>'Your &amp; cons term structure'!D50</f>
        <v>1.0055475155434046</v>
      </c>
      <c r="E65" s="4"/>
    </row>
    <row r="66" spans="1:5">
      <c r="A66" t="str">
        <f>'Your &amp; cons term structure'!A51</f>
        <v>Saturday</v>
      </c>
      <c r="B66" s="1">
        <f>'Your &amp; cons term structure'!B51</f>
        <v>45801</v>
      </c>
      <c r="C66" s="46" t="str">
        <f>'Your &amp; cons term structure'!C51</f>
        <v/>
      </c>
      <c r="D66" s="4">
        <f>'Your &amp; cons term structure'!D51</f>
        <v>0</v>
      </c>
      <c r="E66" s="4"/>
    </row>
    <row r="67" spans="1:5">
      <c r="A67" t="str">
        <f>'Your &amp; cons term structure'!A52</f>
        <v>Sunday</v>
      </c>
      <c r="B67" s="1">
        <f>'Your &amp; cons term structure'!B52</f>
        <v>45802</v>
      </c>
      <c r="C67" s="46" t="str">
        <f>'Your &amp; cons term structure'!C52</f>
        <v/>
      </c>
      <c r="D67" s="4">
        <f>'Your &amp; cons term structure'!D52</f>
        <v>0</v>
      </c>
      <c r="E67" s="4"/>
    </row>
    <row r="68" spans="1:5">
      <c r="A68" t="str">
        <f>'Your &amp; cons term structure'!A53</f>
        <v>Monday</v>
      </c>
      <c r="B68" s="1">
        <f>'Your &amp; cons term structure'!B53</f>
        <v>45803</v>
      </c>
      <c r="C68" s="46">
        <f>'Your &amp; cons term structure'!C53</f>
        <v>4.3299999999999998E-2</v>
      </c>
      <c r="D68" s="4">
        <f>'Your &amp; cons term structure'!D53</f>
        <v>1.0059103506052631</v>
      </c>
      <c r="E68" s="4"/>
    </row>
    <row r="69" spans="1:5">
      <c r="A69" t="str">
        <f>'Your &amp; cons term structure'!A54</f>
        <v>Tuesday</v>
      </c>
      <c r="B69" s="1">
        <f>'Your &amp; cons term structure'!B54</f>
        <v>45804</v>
      </c>
      <c r="C69" s="46">
        <f>'Your &amp; cons term structure'!C54</f>
        <v>4.3299999999999998E-2</v>
      </c>
      <c r="D69" s="4">
        <f>'Your &amp; cons term structure'!D54</f>
        <v>1.0060313392668776</v>
      </c>
      <c r="E69" s="4"/>
    </row>
    <row r="70" spans="1:5">
      <c r="A70" t="str">
        <f>'Your &amp; cons term structure'!A55</f>
        <v>Wednesday</v>
      </c>
      <c r="B70" s="1">
        <f>'Your &amp; cons term structure'!B55</f>
        <v>45805</v>
      </c>
      <c r="C70" s="46">
        <f>'Your &amp; cons term structure'!C55</f>
        <v>4.3299999999999998E-2</v>
      </c>
      <c r="D70" s="4">
        <f>'Your &amp; cons term structure'!D55</f>
        <v>1.0061523424807395</v>
      </c>
      <c r="E70" s="4"/>
    </row>
    <row r="71" spans="1:5">
      <c r="A71" t="str">
        <f>'Your &amp; cons term structure'!A56</f>
        <v>Thursday</v>
      </c>
      <c r="B71" s="1">
        <f>'Your &amp; cons term structure'!B56</f>
        <v>45806</v>
      </c>
      <c r="C71" s="46">
        <f>'Your &amp; cons term structure'!C56</f>
        <v>4.3299999999999998E-2</v>
      </c>
      <c r="D71" s="4">
        <f>'Your &amp; cons term structure'!D56</f>
        <v>1.0062733602485989</v>
      </c>
      <c r="E71" s="4"/>
    </row>
    <row r="72" spans="1:5">
      <c r="A72" t="str">
        <f>'Your &amp; cons term structure'!A57</f>
        <v>Friday</v>
      </c>
      <c r="B72" s="1">
        <f>'Your &amp; cons term structure'!B57</f>
        <v>45807</v>
      </c>
      <c r="C72" s="46">
        <f>'Your &amp; cons term structure'!C57</f>
        <v>4.3299999999999998E-2</v>
      </c>
      <c r="D72" s="4">
        <f>'Your &amp; cons term structure'!D57</f>
        <v>1.0063943925722065</v>
      </c>
      <c r="E72" s="4"/>
    </row>
    <row r="73" spans="1:5">
      <c r="A73" t="str">
        <f>'Your &amp; cons term structure'!A58</f>
        <v>Saturday</v>
      </c>
      <c r="B73" s="1">
        <f>'Your &amp; cons term structure'!B58</f>
        <v>45808</v>
      </c>
      <c r="C73" s="46" t="str">
        <f>'Your &amp; cons term structure'!C58</f>
        <v/>
      </c>
      <c r="D73" s="4">
        <f>'Your &amp; cons term structure'!D58</f>
        <v>0</v>
      </c>
      <c r="E73" s="4"/>
    </row>
    <row r="74" spans="1:5">
      <c r="A74" t="str">
        <f>'Your &amp; cons term structure'!A59</f>
        <v>Sunday</v>
      </c>
      <c r="B74" s="1">
        <f>'Your &amp; cons term structure'!B59</f>
        <v>45809</v>
      </c>
      <c r="C74" s="46" t="str">
        <f>'Your &amp; cons term structure'!C59</f>
        <v/>
      </c>
      <c r="D74" s="4">
        <f>'Your &amp; cons term structure'!D59</f>
        <v>0</v>
      </c>
      <c r="E74" s="4"/>
    </row>
    <row r="75" spans="1:5">
      <c r="A75" t="str">
        <f>'Your &amp; cons term structure'!A60</f>
        <v>Monday</v>
      </c>
      <c r="B75" s="1">
        <f>'Your &amp; cons term structure'!B60</f>
        <v>45810</v>
      </c>
      <c r="C75" s="46">
        <f>'Your &amp; cons term structure'!C60</f>
        <v>4.3299999999999998E-2</v>
      </c>
      <c r="D75" s="4">
        <f>'Your &amp; cons term structure'!D60</f>
        <v>1.0067575332155263</v>
      </c>
      <c r="E75" s="4"/>
    </row>
    <row r="76" spans="1:5">
      <c r="A76" t="str">
        <f>'Your &amp; cons term structure'!A61</f>
        <v>Tuesday</v>
      </c>
      <c r="B76" s="1">
        <f>'Your &amp; cons term structure'!B61</f>
        <v>45811</v>
      </c>
      <c r="C76" s="46">
        <f>'Your &amp; cons term structure'!C61</f>
        <v>4.3299999999999998E-2</v>
      </c>
      <c r="D76" s="4">
        <f>'Your &amp; cons term structure'!D61</f>
        <v>1.0068786237743825</v>
      </c>
      <c r="E76" s="4"/>
    </row>
    <row r="77" spans="1:5">
      <c r="A77" t="str">
        <f>'Your &amp; cons term structure'!A62</f>
        <v>Wednesday</v>
      </c>
      <c r="B77" s="1">
        <f>'Your &amp; cons term structure'!B62</f>
        <v>45812</v>
      </c>
      <c r="C77" s="46">
        <f>'Your &amp; cons term structure'!C62</f>
        <v>4.3299999999999998E-2</v>
      </c>
      <c r="D77" s="4">
        <f>'Your &amp; cons term structure'!D62</f>
        <v>1.0069997288977421</v>
      </c>
      <c r="E77" s="4"/>
    </row>
    <row r="78" spans="1:5">
      <c r="A78" t="str">
        <f>'Your &amp; cons term structure'!A63</f>
        <v>Thursday</v>
      </c>
      <c r="B78" s="1">
        <f>'Your &amp; cons term structure'!B63</f>
        <v>45813</v>
      </c>
      <c r="C78" s="46">
        <f>'Your &amp; cons term structure'!C63</f>
        <v>4.3299999999999998E-2</v>
      </c>
      <c r="D78" s="4">
        <f>'Your &amp; cons term structure'!D63</f>
        <v>1.0071208485873568</v>
      </c>
      <c r="E78" s="4"/>
    </row>
    <row r="79" spans="1:5">
      <c r="A79" t="str">
        <f>'Your &amp; cons term structure'!A64</f>
        <v>Friday</v>
      </c>
      <c r="B79" s="1">
        <f>'Your &amp; cons term structure'!B64</f>
        <v>45814</v>
      </c>
      <c r="C79" s="46">
        <f>'Your &amp; cons term structure'!C64</f>
        <v>4.3299999999999998E-2</v>
      </c>
      <c r="D79" s="4">
        <f>'Your &amp; cons term structure'!D64</f>
        <v>1.0072419828449786</v>
      </c>
      <c r="E79" s="4"/>
    </row>
    <row r="80" spans="1:5">
      <c r="A80" t="str">
        <f>'Your &amp; cons term structure'!A65</f>
        <v>Saturday</v>
      </c>
      <c r="B80" s="1">
        <f>'Your &amp; cons term structure'!B65</f>
        <v>45815</v>
      </c>
      <c r="C80" s="46" t="str">
        <f>'Your &amp; cons term structure'!C65</f>
        <v/>
      </c>
      <c r="D80" s="4">
        <f>'Your &amp; cons term structure'!D65</f>
        <v>0</v>
      </c>
      <c r="E80" s="4"/>
    </row>
    <row r="81" spans="1:7">
      <c r="A81" t="str">
        <f>'Your &amp; cons term structure'!A66</f>
        <v>Sunday</v>
      </c>
      <c r="B81" s="1">
        <f>'Your &amp; cons term structure'!B66</f>
        <v>45816</v>
      </c>
      <c r="C81" s="46" t="str">
        <f>'Your &amp; cons term structure'!C66</f>
        <v/>
      </c>
      <c r="D81" s="4">
        <f>'Your &amp; cons term structure'!D66</f>
        <v>0</v>
      </c>
      <c r="E81" s="4"/>
    </row>
    <row r="82" spans="1:7">
      <c r="A82" t="str">
        <f>'Your &amp; cons term structure'!A67</f>
        <v>Monday</v>
      </c>
      <c r="B82" s="1">
        <f>'Your &amp; cons term structure'!B67</f>
        <v>45817</v>
      </c>
      <c r="C82" s="46">
        <f>'Your &amp; cons term structure'!C67</f>
        <v>4.3299999999999998E-2</v>
      </c>
      <c r="D82" s="4">
        <f>'Your &amp; cons term structure'!D67</f>
        <v>1.0076054293271219</v>
      </c>
      <c r="E82" s="4"/>
    </row>
    <row r="83" spans="1:7">
      <c r="A83" t="str">
        <f>'Your &amp; cons term structure'!A68</f>
        <v>Tuesday</v>
      </c>
      <c r="B83" s="1">
        <f>'Your &amp; cons term structure'!B68</f>
        <v>45818</v>
      </c>
      <c r="C83" s="46">
        <f>'Your &amp; cons term structure'!C68</f>
        <v>4.3299999999999998E-2</v>
      </c>
      <c r="D83" s="4">
        <f>'Your &amp; cons term structure'!D68</f>
        <v>1.0077266218690382</v>
      </c>
      <c r="E83" s="4"/>
      <c r="F83" s="253"/>
      <c r="G83" s="253"/>
    </row>
    <row r="84" spans="1:7">
      <c r="A84" t="str">
        <f>'Your &amp; cons term structure'!A69</f>
        <v>Wednesday</v>
      </c>
      <c r="B84" s="1">
        <f>'Your &amp; cons term structure'!B69</f>
        <v>45819</v>
      </c>
      <c r="C84" s="46">
        <f>'Your &amp; cons term structure'!C69</f>
        <v>4.3299999999999998E-2</v>
      </c>
      <c r="D84" s="4">
        <f>'Your &amp; cons term structure'!D69</f>
        <v>1.0078478289877242</v>
      </c>
    </row>
    <row r="85" spans="1:7">
      <c r="A85" t="str">
        <f>'Your &amp; cons term structure'!A70</f>
        <v>Thursday</v>
      </c>
      <c r="B85" s="1">
        <f>'Your &amp; cons term structure'!B70</f>
        <v>45820</v>
      </c>
      <c r="C85" s="46">
        <f>'Your &amp; cons term structure'!C70</f>
        <v>4.3299999999999998E-2</v>
      </c>
      <c r="D85" s="4">
        <f>'Your &amp; cons term structure'!D70</f>
        <v>1.007969050684933</v>
      </c>
    </row>
    <row r="86" spans="1:7">
      <c r="A86" t="str">
        <f>'Your &amp; cons term structure'!A71</f>
        <v>Friday</v>
      </c>
      <c r="B86" s="1">
        <f>'Your &amp; cons term structure'!B71</f>
        <v>45821</v>
      </c>
      <c r="C86" s="46">
        <f>'Your &amp; cons term structure'!C71</f>
        <v>4.3299999999999998E-2</v>
      </c>
      <c r="D86" s="4">
        <f>'Your &amp; cons term structure'!D71</f>
        <v>1.0080902869624182</v>
      </c>
    </row>
    <row r="87" spans="1:7">
      <c r="A87" t="str">
        <f>'Your &amp; cons term structure'!A72</f>
        <v>Saturday</v>
      </c>
      <c r="B87" s="1">
        <f>'Your &amp; cons term structure'!B72</f>
        <v>45822</v>
      </c>
      <c r="C87" s="46" t="str">
        <f>'Your &amp; cons term structure'!C72</f>
        <v/>
      </c>
      <c r="D87" s="4">
        <f>'Your &amp; cons term structure'!D72</f>
        <v>0</v>
      </c>
    </row>
    <row r="88" spans="1:7">
      <c r="A88" t="str">
        <f>'Your &amp; cons term structure'!A73</f>
        <v>Sunday</v>
      </c>
      <c r="B88" s="1">
        <f>'Your &amp; cons term structure'!B73</f>
        <v>45823</v>
      </c>
      <c r="C88" s="46" t="str">
        <f>'Your &amp; cons term structure'!C73</f>
        <v/>
      </c>
      <c r="D88" s="4">
        <f>'Your &amp; cons term structure'!D73</f>
        <v>0</v>
      </c>
    </row>
    <row r="89" spans="1:7">
      <c r="A89" t="str">
        <f>'Your &amp; cons term structure'!A74</f>
        <v>Monday</v>
      </c>
      <c r="B89" s="1">
        <f>'Your &amp; cons term structure'!B74</f>
        <v>45824</v>
      </c>
      <c r="C89" s="46">
        <f>'Your &amp; cons term structure'!C74</f>
        <v>4.3299999999999998E-2</v>
      </c>
      <c r="D89" s="4">
        <f>'Your &amp; cons term structure'!D74</f>
        <v>1.0084540395409638</v>
      </c>
    </row>
    <row r="90" spans="1:7">
      <c r="A90" t="str">
        <f>'Your &amp; cons term structure'!A75</f>
        <v>Tuesday</v>
      </c>
      <c r="B90" s="1">
        <f>'Your &amp; cons term structure'!B75</f>
        <v>45825</v>
      </c>
      <c r="C90" s="46">
        <f>'Your &amp; cons term structure'!C75</f>
        <v>4.3299999999999998E-2</v>
      </c>
      <c r="D90" s="4">
        <f>'Your &amp; cons term structure'!D75</f>
        <v>1.0085753341518309</v>
      </c>
    </row>
    <row r="91" spans="1:7">
      <c r="A91" t="str">
        <f>'Your &amp; cons term structure'!A76</f>
        <v>Wednesday</v>
      </c>
      <c r="B91" s="1">
        <f>'Your &amp; cons term structure'!B76</f>
        <v>45826</v>
      </c>
      <c r="C91" s="46">
        <f>'Your &amp; cons term structure'!C76</f>
        <v>4.3299999999999998E-2</v>
      </c>
      <c r="D91" s="4">
        <f>'Your &amp; cons term structure'!D76</f>
        <v>1.0086966433517441</v>
      </c>
    </row>
    <row r="92" spans="1:7">
      <c r="A92" t="str">
        <f>'Your &amp; cons term structure'!A77</f>
        <v>Thursday</v>
      </c>
      <c r="B92" s="1">
        <f>'Your &amp; cons term structure'!B77</f>
        <v>45827</v>
      </c>
      <c r="C92" s="46">
        <f>'Your &amp; cons term structure'!C77</f>
        <v>4.3299999999999998E-2</v>
      </c>
      <c r="D92" s="4">
        <f>'Your &amp; cons term structure'!D77</f>
        <v>1.0088179671424584</v>
      </c>
    </row>
    <row r="93" spans="1:7">
      <c r="A93" t="str">
        <f>'Your &amp; cons term structure'!A78</f>
        <v>Friday</v>
      </c>
      <c r="B93" s="1">
        <f>'Your &amp; cons term structure'!B78</f>
        <v>45828</v>
      </c>
      <c r="C93" s="46">
        <f>'Your &amp; cons term structure'!C78</f>
        <v>4.3299999999999998E-2</v>
      </c>
      <c r="D93" s="4">
        <f>'Your &amp; cons term structure'!D78</f>
        <v>1.0089393055257285</v>
      </c>
    </row>
    <row r="94" spans="1:7">
      <c r="A94" t="str">
        <f>'Your &amp; cons term structure'!A79</f>
        <v>Saturday</v>
      </c>
      <c r="B94" s="1">
        <f>'Your &amp; cons term structure'!B79</f>
        <v>45829</v>
      </c>
      <c r="C94" s="46" t="str">
        <f>'Your &amp; cons term structure'!C79</f>
        <v/>
      </c>
      <c r="D94" s="4">
        <f>'Your &amp; cons term structure'!D79</f>
        <v>0</v>
      </c>
    </row>
    <row r="95" spans="1:7">
      <c r="A95" t="str">
        <f>'Your &amp; cons term structure'!A80</f>
        <v>Sunday</v>
      </c>
      <c r="B95" s="1">
        <f>'Your &amp; cons term structure'!B80</f>
        <v>45830</v>
      </c>
      <c r="C95" s="46" t="str">
        <f>'Your &amp; cons term structure'!C80</f>
        <v/>
      </c>
      <c r="D95" s="4">
        <f>'Your &amp; cons term structure'!D80</f>
        <v>0</v>
      </c>
    </row>
    <row r="96" spans="1:7">
      <c r="A96" t="str">
        <f>'Your &amp; cons term structure'!A81</f>
        <v>Monday</v>
      </c>
      <c r="B96" s="1">
        <f>'Your &amp; cons term structure'!B81</f>
        <v>45831</v>
      </c>
      <c r="C96" s="46">
        <f>'Your &amp; cons term structure'!C81</f>
        <v>4.3299999999999998E-2</v>
      </c>
      <c r="D96" s="4">
        <f>'Your &amp; cons term structure'!D81</f>
        <v>1.0093033644584724</v>
      </c>
    </row>
    <row r="97" spans="1:4">
      <c r="A97" t="str">
        <f>'Your &amp; cons term structure'!A82</f>
        <v>Tuesday</v>
      </c>
      <c r="B97" s="1">
        <f>'Your &amp; cons term structure'!B82</f>
        <v>45832</v>
      </c>
      <c r="C97" s="46">
        <f>'Your &amp; cons term structure'!C82</f>
        <v>4.3299999999999998E-2</v>
      </c>
      <c r="D97" s="4">
        <f>'Your &amp; cons term structure'!D82</f>
        <v>1.0094247612242531</v>
      </c>
    </row>
    <row r="98" spans="1:4">
      <c r="A98" t="str">
        <f>'Your &amp; cons term structure'!A83</f>
        <v>Wednesday</v>
      </c>
      <c r="B98" s="1">
        <f>'Your &amp; cons term structure'!B83</f>
        <v>45833</v>
      </c>
      <c r="C98" s="46">
        <f>'Your &amp; cons term structure'!C83</f>
        <v>4.3299999999999998E-2</v>
      </c>
      <c r="D98" s="4">
        <f>'Your &amp; cons term structure'!D83</f>
        <v>1.009546172591367</v>
      </c>
    </row>
    <row r="99" spans="1:4">
      <c r="A99" t="str">
        <f>'Your &amp; cons term structure'!A84</f>
        <v>Thursday</v>
      </c>
      <c r="B99" s="1">
        <f>'Your &amp; cons term structure'!B84</f>
        <v>45834</v>
      </c>
      <c r="C99" s="46">
        <f>'Your &amp; cons term structure'!C84</f>
        <v>4.3299999999999998E-2</v>
      </c>
      <c r="D99" s="4">
        <f>'Your &amp; cons term structure'!D84</f>
        <v>1.0096675985615704</v>
      </c>
    </row>
    <row r="100" spans="1:4">
      <c r="A100" t="str">
        <f>'Your &amp; cons term structure'!A85</f>
        <v>Friday</v>
      </c>
      <c r="B100" s="1">
        <f>'Your &amp; cons term structure'!B85</f>
        <v>45835</v>
      </c>
      <c r="C100" s="46">
        <f>'Your &amp; cons term structure'!C85</f>
        <v>4.3299999999999998E-2</v>
      </c>
      <c r="D100" s="4">
        <f>'Your &amp; cons term structure'!D85</f>
        <v>1.0097890391366195</v>
      </c>
    </row>
    <row r="101" spans="1:4">
      <c r="A101" t="str">
        <f>'Your &amp; cons term structure'!A86</f>
        <v>Saturday</v>
      </c>
      <c r="B101" s="1">
        <f>'Your &amp; cons term structure'!B86</f>
        <v>45836</v>
      </c>
      <c r="C101" s="46" t="str">
        <f>'Your &amp; cons term structure'!C86</f>
        <v/>
      </c>
      <c r="D101" s="4">
        <f>'Your &amp; cons term structure'!D86</f>
        <v>0</v>
      </c>
    </row>
    <row r="102" spans="1:4">
      <c r="A102" t="str">
        <f>'Your &amp; cons term structure'!A87</f>
        <v>Sunday</v>
      </c>
      <c r="B102" s="1">
        <f>'Your &amp; cons term structure'!B87</f>
        <v>45837</v>
      </c>
      <c r="C102" s="46" t="str">
        <f>'Your &amp; cons term structure'!C87</f>
        <v/>
      </c>
      <c r="D102" s="4">
        <f>'Your &amp; cons term structure'!D87</f>
        <v>0</v>
      </c>
    </row>
    <row r="103" spans="1:4">
      <c r="A103" t="str">
        <f>'Your &amp; cons term structure'!A88</f>
        <v>Monday</v>
      </c>
      <c r="B103" s="1">
        <f>'Your &amp; cons term structure'!B88</f>
        <v>45838</v>
      </c>
      <c r="C103" s="46">
        <f>'Your &amp; cons term structure'!C88</f>
        <v>4.3299999999999998E-2</v>
      </c>
      <c r="D103" s="4">
        <f>'Your &amp; cons term structure'!D88</f>
        <v>1.0101534046815748</v>
      </c>
    </row>
    <row r="104" spans="1:4">
      <c r="A104" t="str">
        <f>'Your &amp; cons term structure'!A89</f>
        <v>Tuesday</v>
      </c>
      <c r="B104" s="1">
        <f>'Your &amp; cons term structure'!B89</f>
        <v>45839</v>
      </c>
      <c r="C104" s="46">
        <f>'Your &amp; cons term structure'!C89</f>
        <v>4.3299999999999998E-2</v>
      </c>
      <c r="D104" s="4">
        <f>'Your &amp; cons term structure'!D89</f>
        <v>1.0102749036883045</v>
      </c>
    </row>
    <row r="105" spans="1:4">
      <c r="A105" t="str">
        <f>'Your &amp; cons term structure'!A90</f>
        <v>Wednesday</v>
      </c>
      <c r="B105" s="1">
        <f>'Your &amp; cons term structure'!B90</f>
        <v>45840</v>
      </c>
      <c r="C105" s="46">
        <f>'Your &amp; cons term structure'!C90</f>
        <v>4.3299999999999998E-2</v>
      </c>
      <c r="D105" s="4">
        <f>'Your &amp; cons term structure'!D90</f>
        <v>1.0103964173086648</v>
      </c>
    </row>
    <row r="106" spans="1:4">
      <c r="A106" t="str">
        <f>'Your &amp; cons term structure'!A91</f>
        <v>Thursday</v>
      </c>
      <c r="B106" s="1">
        <f>'Your &amp; cons term structure'!B91</f>
        <v>45841</v>
      </c>
      <c r="C106" s="46">
        <f>'Your &amp; cons term structure'!C91</f>
        <v>4.3299999999999998E-2</v>
      </c>
      <c r="D106" s="4">
        <f>'Your &amp; cons term structure'!D91</f>
        <v>1.0105179455444133</v>
      </c>
    </row>
    <row r="107" spans="1:4">
      <c r="A107" t="str">
        <f>'Your &amp; cons term structure'!A92</f>
        <v>Friday</v>
      </c>
      <c r="B107" s="1">
        <f>'Your &amp; cons term structure'!B92</f>
        <v>45842</v>
      </c>
      <c r="C107" s="46">
        <f>'Your &amp; cons term structure'!C92</f>
        <v>4.3299999999999998E-2</v>
      </c>
      <c r="D107" s="4">
        <f>'Your &amp; cons term structure'!D92</f>
        <v>1.010639488397308</v>
      </c>
    </row>
    <row r="108" spans="1:4">
      <c r="A108" t="str">
        <f>'Your &amp; cons term structure'!A93</f>
        <v>Saturday</v>
      </c>
      <c r="B108" s="1">
        <f>'Your &amp; cons term structure'!B93</f>
        <v>45843</v>
      </c>
      <c r="C108" s="46" t="str">
        <f>'Your &amp; cons term structure'!C93</f>
        <v/>
      </c>
      <c r="D108" s="4">
        <f>'Your &amp; cons term structure'!D93</f>
        <v>0</v>
      </c>
    </row>
    <row r="109" spans="1:4">
      <c r="A109" t="str">
        <f>'Your &amp; cons term structure'!A94</f>
        <v>Sunday</v>
      </c>
      <c r="B109" s="1">
        <f>'Your &amp; cons term structure'!B94</f>
        <v>45844</v>
      </c>
      <c r="C109" s="46" t="str">
        <f>'Your &amp; cons term structure'!C94</f>
        <v/>
      </c>
      <c r="D109" s="4">
        <f>'Your &amp; cons term structure'!D94</f>
        <v>0</v>
      </c>
    </row>
    <row r="110" spans="1:4">
      <c r="A110" t="str">
        <f>'Your &amp; cons term structure'!A95</f>
        <v>Monday</v>
      </c>
      <c r="B110" s="1">
        <f>'Your &amp; cons term structure'!B95</f>
        <v>45845</v>
      </c>
      <c r="C110" s="46">
        <f>'Your &amp; cons term structure'!C95</f>
        <v>4.3299999999999998E-2</v>
      </c>
      <c r="D110" s="4">
        <f>'Your &amp; cons term structure'!D95</f>
        <v>1.0110041608127047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483BCD-C0B7-4A71-B90F-95D92DEB5AC1}">
  <sheetPr>
    <tabColor rgb="FFFFFF00"/>
  </sheetPr>
  <dimension ref="A1:O38"/>
  <sheetViews>
    <sheetView zoomScale="55" zoomScaleNormal="55" workbookViewId="0">
      <selection activeCell="D24" sqref="D24"/>
    </sheetView>
  </sheetViews>
  <sheetFormatPr defaultRowHeight="28.5"/>
  <cols>
    <col min="1" max="1" width="15.19921875" customWidth="1"/>
    <col min="3" max="3" width="14.3984375" bestFit="1" customWidth="1"/>
    <col min="4" max="4" width="11.73046875" bestFit="1" customWidth="1"/>
    <col min="5" max="5" width="13.3984375" bestFit="1" customWidth="1"/>
    <col min="6" max="6" width="10.53125" customWidth="1"/>
    <col min="7" max="7" width="11.3984375" customWidth="1"/>
    <col min="8" max="8" width="15.265625" customWidth="1"/>
    <col min="9" max="9" width="11.3984375" customWidth="1"/>
    <col min="14" max="14" width="19.73046875" bestFit="1" customWidth="1"/>
  </cols>
  <sheetData>
    <row r="1" spans="1:15">
      <c r="A1" t="s">
        <v>69</v>
      </c>
    </row>
    <row r="3" spans="1:15">
      <c r="A3" s="274" t="s">
        <v>70</v>
      </c>
      <c r="E3" s="22" t="s">
        <v>71</v>
      </c>
    </row>
    <row r="4" spans="1:15">
      <c r="E4" s="22" t="s">
        <v>72</v>
      </c>
      <c r="F4" s="3">
        <v>3.7499999999999999E-2</v>
      </c>
      <c r="G4" t="s">
        <v>73</v>
      </c>
    </row>
    <row r="5" spans="1:15">
      <c r="E5" s="22" t="s">
        <v>74</v>
      </c>
      <c r="F5">
        <v>100</v>
      </c>
    </row>
    <row r="7" spans="1:15">
      <c r="B7" s="8" t="s">
        <v>75</v>
      </c>
      <c r="C7" s="8" t="s">
        <v>76</v>
      </c>
      <c r="D7" s="8" t="s">
        <v>77</v>
      </c>
      <c r="E7" s="8" t="s">
        <v>78</v>
      </c>
      <c r="F7" s="8" t="s">
        <v>79</v>
      </c>
      <c r="G7" s="8" t="s">
        <v>80</v>
      </c>
    </row>
    <row r="8" spans="1:15">
      <c r="B8" s="4">
        <v>1</v>
      </c>
      <c r="C8" s="261">
        <f>'Your &amp; cons term structure'!L8</f>
        <v>4.4259482289524636E-2</v>
      </c>
      <c r="D8" s="7">
        <f>1/(1+C8)</f>
        <v>0.9576163941624104</v>
      </c>
      <c r="E8" s="4">
        <f>F5*F4</f>
        <v>3.75</v>
      </c>
      <c r="F8" s="16"/>
      <c r="G8" s="16"/>
    </row>
    <row r="9" spans="1:15">
      <c r="B9" s="6">
        <v>2</v>
      </c>
      <c r="C9" s="271">
        <f>'Your &amp; cons term structure'!L9</f>
        <v>4.5180834547453412E-2</v>
      </c>
      <c r="D9" s="11">
        <f>1/(1+C9)^B9</f>
        <v>0.91541310408446408</v>
      </c>
      <c r="E9" s="6">
        <f>F5+F5*F4</f>
        <v>103.75</v>
      </c>
      <c r="F9" s="17"/>
      <c r="G9" s="17"/>
    </row>
    <row r="10" spans="1:15">
      <c r="B10" s="4"/>
      <c r="C10" s="4"/>
      <c r="D10" s="4"/>
      <c r="E10" s="22" t="s">
        <v>81</v>
      </c>
      <c r="F10" s="16"/>
      <c r="G10" s="16"/>
    </row>
    <row r="11" spans="1:15">
      <c r="B11" s="4"/>
      <c r="C11" s="4"/>
      <c r="D11" s="4"/>
      <c r="E11" s="22" t="s">
        <v>82</v>
      </c>
      <c r="F11" s="60"/>
      <c r="G11" t="s">
        <v>83</v>
      </c>
    </row>
    <row r="12" spans="1:15">
      <c r="B12" s="4"/>
      <c r="C12" s="4"/>
      <c r="D12" s="4"/>
      <c r="E12" s="4"/>
      <c r="F12" s="4"/>
      <c r="G12" s="4"/>
      <c r="H12" s="12"/>
    </row>
    <row r="13" spans="1:15">
      <c r="B13" s="8" t="s">
        <v>75</v>
      </c>
      <c r="C13" s="8" t="s">
        <v>84</v>
      </c>
      <c r="D13" s="8" t="s">
        <v>77</v>
      </c>
      <c r="E13" s="8" t="s">
        <v>78</v>
      </c>
      <c r="F13" s="8" t="s">
        <v>79</v>
      </c>
      <c r="G13" s="19"/>
      <c r="H13" s="12"/>
    </row>
    <row r="14" spans="1:15">
      <c r="B14" s="4">
        <v>1</v>
      </c>
      <c r="C14" s="272">
        <f>'Your &amp; cons term structure'!K8</f>
        <v>4.4259482289524636E-2</v>
      </c>
      <c r="D14" s="7">
        <f>1/(1+C14)</f>
        <v>0.9576163941624104</v>
      </c>
      <c r="E14" s="4">
        <f>F5*F4</f>
        <v>3.75</v>
      </c>
      <c r="F14" s="12">
        <f>E14*D14</f>
        <v>3.5910614781090389</v>
      </c>
      <c r="G14" s="12"/>
      <c r="H14" s="269"/>
    </row>
    <row r="15" spans="1:15">
      <c r="B15" s="6">
        <v>2</v>
      </c>
      <c r="C15" s="273">
        <f>'Your &amp; cons term structure'!K9</f>
        <v>4.5180834547453412E-2</v>
      </c>
      <c r="D15" s="11">
        <f>1/(1+C15)^B15</f>
        <v>0.91541310408446408</v>
      </c>
      <c r="E15" s="6">
        <f>F5+F5*F4</f>
        <v>103.75</v>
      </c>
      <c r="F15" s="13">
        <f>E15*D15</f>
        <v>94.974109548763153</v>
      </c>
      <c r="G15" s="12"/>
      <c r="H15" s="270"/>
    </row>
    <row r="16" spans="1:15">
      <c r="B16" s="4"/>
      <c r="C16" s="4"/>
      <c r="D16" s="4"/>
      <c r="E16" s="22" t="s">
        <v>81</v>
      </c>
      <c r="F16" s="12">
        <f>SUM(F14:F15)</f>
        <v>98.565171026872193</v>
      </c>
      <c r="G16" s="12" t="str">
        <f>IF(F16&lt;F10,"RICH",IF(F16&gt;F10,"CHEAP","FAIR VALUE"))</f>
        <v>CHEAP</v>
      </c>
      <c r="H16" s="270"/>
      <c r="O16" s="64"/>
    </row>
    <row r="17" spans="1:15">
      <c r="B17" s="4"/>
      <c r="C17" s="4"/>
      <c r="D17" s="4"/>
      <c r="E17" s="22" t="s">
        <v>82</v>
      </c>
      <c r="F17" s="61">
        <f>RATE(2,E14,-F16,F5)</f>
        <v>4.5163739279022556E-2</v>
      </c>
      <c r="H17" s="270"/>
      <c r="N17" s="64"/>
      <c r="O17" s="64"/>
    </row>
    <row r="18" spans="1:15">
      <c r="B18" s="4"/>
      <c r="C18" s="4"/>
      <c r="D18" s="4"/>
      <c r="E18" s="22"/>
      <c r="F18" s="61"/>
      <c r="H18" s="270"/>
      <c r="N18" s="64"/>
    </row>
    <row r="19" spans="1:15">
      <c r="B19" s="4"/>
      <c r="C19" s="4"/>
      <c r="D19" s="4"/>
      <c r="E19" s="22"/>
      <c r="F19" s="61"/>
      <c r="H19" s="270"/>
      <c r="N19" s="50"/>
    </row>
    <row r="20" spans="1:15">
      <c r="A20" s="274" t="s">
        <v>85</v>
      </c>
      <c r="B20" s="33" t="s">
        <v>86</v>
      </c>
      <c r="C20" s="4"/>
      <c r="D20" s="4"/>
      <c r="E20" s="4"/>
      <c r="F20" s="4"/>
      <c r="G20" s="4"/>
      <c r="H20" s="12"/>
    </row>
    <row r="21" spans="1:15">
      <c r="A21" s="275"/>
      <c r="B21" s="33"/>
      <c r="C21" s="4"/>
      <c r="D21" s="4"/>
      <c r="E21" s="4"/>
      <c r="F21" s="4"/>
      <c r="G21" s="4"/>
      <c r="H21" s="12"/>
      <c r="N21" s="64"/>
      <c r="O21" s="64"/>
    </row>
    <row r="22" spans="1:15">
      <c r="A22" s="275"/>
      <c r="B22" s="8" t="s">
        <v>75</v>
      </c>
      <c r="C22" s="8" t="s">
        <v>76</v>
      </c>
      <c r="D22" s="8" t="s">
        <v>87</v>
      </c>
      <c r="E22" s="4"/>
      <c r="F22" s="4"/>
      <c r="G22" s="4"/>
      <c r="H22" s="12"/>
      <c r="N22" s="64"/>
      <c r="O22" s="64"/>
    </row>
    <row r="23" spans="1:15">
      <c r="A23" s="275"/>
      <c r="B23" s="4">
        <v>1</v>
      </c>
      <c r="C23" s="261">
        <f>C8</f>
        <v>4.4259482289524636E-2</v>
      </c>
      <c r="D23" s="9">
        <f>C23</f>
        <v>4.4259482289524636E-2</v>
      </c>
      <c r="E23" s="4" t="s">
        <v>88</v>
      </c>
      <c r="F23" s="4"/>
      <c r="G23" s="4"/>
      <c r="H23" s="12"/>
      <c r="N23" s="64"/>
      <c r="O23" s="64"/>
    </row>
    <row r="24" spans="1:15">
      <c r="A24" s="275"/>
      <c r="B24" s="6">
        <v>2</v>
      </c>
      <c r="C24" s="271">
        <f>C9</f>
        <v>4.5180834547453412E-2</v>
      </c>
      <c r="D24" s="278"/>
      <c r="E24" s="4" t="s">
        <v>89</v>
      </c>
      <c r="F24" s="4"/>
      <c r="G24" s="4"/>
      <c r="H24" s="12"/>
    </row>
    <row r="25" spans="1:15">
      <c r="A25" s="275"/>
      <c r="B25" s="33"/>
      <c r="C25" s="4"/>
      <c r="D25" s="4"/>
      <c r="E25" s="4"/>
      <c r="F25" s="4"/>
      <c r="G25" s="4"/>
      <c r="H25" s="12"/>
    </row>
    <row r="26" spans="1:15">
      <c r="B26" s="4"/>
      <c r="C26" s="4"/>
      <c r="D26" s="4"/>
      <c r="E26" s="4"/>
      <c r="F26" s="4"/>
      <c r="G26" s="4"/>
      <c r="H26" s="12"/>
      <c r="O26" s="46"/>
    </row>
    <row r="27" spans="1:15">
      <c r="B27" s="52" t="s">
        <v>75</v>
      </c>
      <c r="C27" s="52" t="s">
        <v>90</v>
      </c>
      <c r="D27" s="52" t="s">
        <v>77</v>
      </c>
      <c r="E27" s="52" t="s">
        <v>78</v>
      </c>
      <c r="F27" s="8" t="s">
        <v>79</v>
      </c>
    </row>
    <row r="28" spans="1:15">
      <c r="B28" s="51">
        <v>1</v>
      </c>
      <c r="C28" s="135">
        <f>C8</f>
        <v>4.4259482289524636E-2</v>
      </c>
      <c r="D28" s="53">
        <f>1/(1+C28)</f>
        <v>0.9576163941624104</v>
      </c>
      <c r="E28" s="276">
        <f>D23*100</f>
        <v>4.4259482289524632</v>
      </c>
      <c r="F28" s="51">
        <f>D28*E28</f>
        <v>4.238360583758964</v>
      </c>
      <c r="G28" s="51"/>
      <c r="H28" s="269"/>
    </row>
    <row r="29" spans="1:15">
      <c r="B29" s="54">
        <v>2</v>
      </c>
      <c r="C29" s="136">
        <f>C9</f>
        <v>4.5180834547453412E-2</v>
      </c>
      <c r="D29" s="55">
        <f>1/(1+C29)^B29</f>
        <v>0.91541310408446408</v>
      </c>
      <c r="E29" s="277">
        <f>100+D24*100</f>
        <v>100</v>
      </c>
      <c r="F29" s="54">
        <f>D29*E29</f>
        <v>91.541310408446407</v>
      </c>
      <c r="G29" s="51"/>
      <c r="H29" s="269"/>
    </row>
    <row r="30" spans="1:15">
      <c r="B30" s="51"/>
      <c r="C30" s="51"/>
      <c r="D30" s="51"/>
      <c r="E30" s="51"/>
      <c r="F30" s="51">
        <f>SUM(F28:F29)</f>
        <v>95.779670992205368</v>
      </c>
      <c r="G30" s="51"/>
      <c r="H30" s="269"/>
    </row>
    <row r="31" spans="1:15">
      <c r="B31" s="4"/>
      <c r="C31" s="4"/>
      <c r="D31" s="4"/>
      <c r="E31" s="4"/>
      <c r="F31" s="4"/>
      <c r="G31" s="4"/>
      <c r="H31" s="12"/>
    </row>
    <row r="32" spans="1:15">
      <c r="A32" s="274" t="s">
        <v>91</v>
      </c>
      <c r="B32" t="s">
        <v>92</v>
      </c>
    </row>
    <row r="34" spans="2:8">
      <c r="B34" s="8" t="s">
        <v>75</v>
      </c>
      <c r="C34" s="8" t="s">
        <v>90</v>
      </c>
      <c r="D34" s="8" t="s">
        <v>77</v>
      </c>
      <c r="E34" s="32" t="s">
        <v>93</v>
      </c>
      <c r="F34" s="8" t="s">
        <v>94</v>
      </c>
      <c r="G34" s="8" t="s">
        <v>78</v>
      </c>
      <c r="H34" s="8" t="s">
        <v>95</v>
      </c>
    </row>
    <row r="35" spans="2:8">
      <c r="B35" s="4">
        <v>1</v>
      </c>
      <c r="C35" s="279">
        <f>C8</f>
        <v>4.4259482289524636E-2</v>
      </c>
      <c r="D35" s="7">
        <f>1/(1+C35*360/365)</f>
        <v>0.95817270668740451</v>
      </c>
      <c r="E35" s="14">
        <v>-5.0000000000000001E-4</v>
      </c>
      <c r="F35" s="4">
        <f>1/(1+C35-E35)^B35</f>
        <v>0.95715809901869764</v>
      </c>
      <c r="G35" s="4">
        <f>F5*F4</f>
        <v>3.75</v>
      </c>
      <c r="H35" s="12">
        <f>G35*F35</f>
        <v>3.5893428713201163</v>
      </c>
    </row>
    <row r="36" spans="2:8">
      <c r="B36" s="6">
        <v>2</v>
      </c>
      <c r="C36" s="280">
        <f>C9</f>
        <v>4.5180834547453412E-2</v>
      </c>
      <c r="D36" s="11">
        <f>1/(1+C36)^B36</f>
        <v>0.91541310408446408</v>
      </c>
      <c r="E36" s="15">
        <v>-5.0000000000000001E-4</v>
      </c>
      <c r="F36" s="6">
        <f>1/(1+C36-E36)^B36</f>
        <v>0.91453789033081589</v>
      </c>
      <c r="G36" s="6">
        <f>F5+F5*F4</f>
        <v>103.75</v>
      </c>
      <c r="H36" s="13">
        <f>G36*F36</f>
        <v>94.883306121822145</v>
      </c>
    </row>
    <row r="37" spans="2:8">
      <c r="B37" s="4"/>
      <c r="C37" s="4"/>
      <c r="D37" s="4"/>
      <c r="E37" s="4"/>
      <c r="F37" s="4"/>
      <c r="G37" s="22" t="s">
        <v>81</v>
      </c>
      <c r="H37" s="12">
        <f>SUM(H35:H36)</f>
        <v>98.472648993142258</v>
      </c>
    </row>
    <row r="38" spans="2:8">
      <c r="G38" s="22" t="s">
        <v>82</v>
      </c>
      <c r="H38" s="61">
        <f>RATE(2,G35,-H37,100)</f>
        <v>4.5663731259742914E-2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63B51F-A669-46A1-9126-F68D3EEB600D}">
  <sheetPr>
    <tabColor rgb="FFFFFF00"/>
  </sheetPr>
  <dimension ref="B1:I22"/>
  <sheetViews>
    <sheetView zoomScale="70" zoomScaleNormal="70" workbookViewId="0">
      <selection activeCell="H27" sqref="H27"/>
    </sheetView>
  </sheetViews>
  <sheetFormatPr defaultRowHeight="28.5"/>
  <cols>
    <col min="2" max="2" width="69.3984375" bestFit="1" customWidth="1"/>
    <col min="3" max="3" width="10.59765625" bestFit="1" customWidth="1"/>
  </cols>
  <sheetData>
    <row r="1" spans="2:8">
      <c r="B1" t="s">
        <v>96</v>
      </c>
    </row>
    <row r="3" spans="2:8">
      <c r="B3" t="s">
        <v>97</v>
      </c>
    </row>
    <row r="4" spans="2:8">
      <c r="B4" t="s">
        <v>98</v>
      </c>
    </row>
    <row r="6" spans="2:8">
      <c r="C6" s="22" t="s">
        <v>99</v>
      </c>
      <c r="D6" s="45">
        <f>'Bond valn using zeros'!G35/100</f>
        <v>3.7499999999999999E-2</v>
      </c>
    </row>
    <row r="8" spans="2:8">
      <c r="C8" s="19" t="s">
        <v>48</v>
      </c>
      <c r="D8" s="19" t="s">
        <v>90</v>
      </c>
      <c r="E8" s="19" t="s">
        <v>100</v>
      </c>
      <c r="F8" s="19" t="s">
        <v>78</v>
      </c>
      <c r="G8" s="19" t="s">
        <v>101</v>
      </c>
    </row>
    <row r="9" spans="2:8">
      <c r="B9" s="4" t="s">
        <v>102</v>
      </c>
      <c r="C9" s="4">
        <v>0.75</v>
      </c>
      <c r="D9" s="281">
        <f>'Your &amp; cons term structure'!L8</f>
        <v>4.4259482289524636E-2</v>
      </c>
      <c r="E9">
        <f>1/(1+D9)^C9</f>
        <v>0.96804083892420045</v>
      </c>
      <c r="F9">
        <f>100*D6</f>
        <v>3.75</v>
      </c>
      <c r="G9">
        <f>F9*E9</f>
        <v>3.6301531459657519</v>
      </c>
    </row>
    <row r="10" spans="2:8">
      <c r="B10" s="6" t="s">
        <v>103</v>
      </c>
      <c r="C10" s="6">
        <v>1.75</v>
      </c>
      <c r="D10" s="282">
        <f>'Your &amp; cons term structure'!L9</f>
        <v>4.5180834547453412E-2</v>
      </c>
      <c r="E10" s="48">
        <f>1/(1+D10)^C10</f>
        <v>0.92558217945435639</v>
      </c>
      <c r="F10" s="48">
        <f>100+100*D6</f>
        <v>103.75</v>
      </c>
      <c r="G10" s="48">
        <f>F10*E10</f>
        <v>96.029151118389478</v>
      </c>
    </row>
    <row r="11" spans="2:8">
      <c r="F11" s="22" t="s">
        <v>104</v>
      </c>
      <c r="G11">
        <f>SUM(G9:G10)</f>
        <v>99.659304264355228</v>
      </c>
      <c r="H11" t="s">
        <v>105</v>
      </c>
    </row>
    <row r="13" spans="2:8">
      <c r="B13" s="39" t="s">
        <v>106</v>
      </c>
      <c r="D13" s="19" t="s">
        <v>107</v>
      </c>
      <c r="E13" s="19" t="s">
        <v>108</v>
      </c>
    </row>
    <row r="14" spans="2:8">
      <c r="B14" s="39" t="s">
        <v>109</v>
      </c>
      <c r="C14" s="1">
        <v>45661</v>
      </c>
    </row>
    <row r="15" spans="2:8">
      <c r="B15" s="39" t="s">
        <v>110</v>
      </c>
      <c r="C15" s="1">
        <v>45751</v>
      </c>
    </row>
    <row r="16" spans="2:8">
      <c r="B16" s="39" t="s">
        <v>111</v>
      </c>
      <c r="C16" s="1">
        <v>46026</v>
      </c>
    </row>
    <row r="17" spans="2:9">
      <c r="B17" s="39" t="s">
        <v>112</v>
      </c>
      <c r="D17" s="40"/>
      <c r="E17" s="40"/>
    </row>
    <row r="18" spans="2:9">
      <c r="B18" s="39" t="s">
        <v>113</v>
      </c>
      <c r="D18" s="40"/>
      <c r="E18" s="40"/>
    </row>
    <row r="19" spans="2:9">
      <c r="B19" s="39"/>
    </row>
    <row r="20" spans="2:9">
      <c r="B20" s="39" t="s">
        <v>114</v>
      </c>
      <c r="D20" s="40"/>
      <c r="E20" s="40"/>
    </row>
    <row r="21" spans="2:9">
      <c r="B21" s="39" t="s">
        <v>115</v>
      </c>
      <c r="F21" s="48" t="s">
        <v>116</v>
      </c>
      <c r="G21" s="49"/>
      <c r="H21" s="49"/>
    </row>
    <row r="22" spans="2:9">
      <c r="F22" t="s">
        <v>117</v>
      </c>
      <c r="G22" s="40"/>
      <c r="H22" s="40"/>
      <c r="I22" t="s">
        <v>118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B017-4823-45A6-A8C7-1C206CA2ED87}">
  <sheetPr>
    <tabColor theme="0"/>
  </sheetPr>
  <dimension ref="B1:AD403"/>
  <sheetViews>
    <sheetView topLeftCell="B3" zoomScale="85" zoomScaleNormal="85" workbookViewId="0">
      <selection activeCell="C13" sqref="C13"/>
    </sheetView>
  </sheetViews>
  <sheetFormatPr defaultRowHeight="28.5"/>
  <cols>
    <col min="2" max="2" width="9.19921875" bestFit="1" customWidth="1"/>
    <col min="17" max="17" width="14.1328125" bestFit="1" customWidth="1"/>
    <col min="20" max="20" width="16.3984375" bestFit="1" customWidth="1"/>
  </cols>
  <sheetData>
    <row r="1" spans="2:30">
      <c r="C1" s="21" t="s">
        <v>99</v>
      </c>
      <c r="D1" s="3">
        <v>4.4999999999999998E-2</v>
      </c>
      <c r="E1" t="s">
        <v>82</v>
      </c>
      <c r="O1" t="s">
        <v>100</v>
      </c>
    </row>
    <row r="2" spans="2:30">
      <c r="B2" t="s">
        <v>119</v>
      </c>
      <c r="D2" s="4">
        <v>0.5</v>
      </c>
      <c r="E2" s="4">
        <v>1</v>
      </c>
      <c r="F2" s="4">
        <v>1.5</v>
      </c>
      <c r="G2" s="4">
        <v>2</v>
      </c>
      <c r="H2" s="4">
        <v>2.5</v>
      </c>
      <c r="I2" s="4">
        <v>3</v>
      </c>
      <c r="J2" s="4">
        <v>3.5</v>
      </c>
      <c r="K2" s="4">
        <v>4</v>
      </c>
      <c r="L2" s="4">
        <v>4.5</v>
      </c>
      <c r="M2" s="4">
        <v>5</v>
      </c>
      <c r="O2" s="21" t="s">
        <v>82</v>
      </c>
      <c r="P2" s="21" t="s">
        <v>119</v>
      </c>
      <c r="Q2" s="21" t="s">
        <v>120</v>
      </c>
      <c r="R2" s="21" t="s">
        <v>117</v>
      </c>
      <c r="S2" s="21" t="s">
        <v>116</v>
      </c>
      <c r="T2" s="21" t="s">
        <v>121</v>
      </c>
      <c r="U2" s="19">
        <v>0.5</v>
      </c>
      <c r="V2" s="19">
        <v>1</v>
      </c>
      <c r="W2" s="19">
        <v>1.5</v>
      </c>
      <c r="X2" s="19">
        <v>2</v>
      </c>
      <c r="Y2" s="19">
        <v>2.5</v>
      </c>
      <c r="Z2" s="19">
        <v>3</v>
      </c>
      <c r="AA2" s="19">
        <v>3.5</v>
      </c>
      <c r="AB2" s="19">
        <v>4</v>
      </c>
      <c r="AC2" s="19">
        <v>4.5</v>
      </c>
      <c r="AD2" s="19">
        <v>5</v>
      </c>
    </row>
    <row r="3" spans="2:30">
      <c r="B3">
        <v>0</v>
      </c>
      <c r="D3">
        <f>IF($B3&lt;=D$2,100*$D$1/2,0)</f>
        <v>2.25</v>
      </c>
      <c r="E3">
        <f t="shared" ref="E3:L18" si="0">IF($B3&lt;=E$2,100*$D$1/2,0)</f>
        <v>2.25</v>
      </c>
      <c r="F3">
        <f t="shared" si="0"/>
        <v>2.25</v>
      </c>
      <c r="G3">
        <f t="shared" si="0"/>
        <v>2.25</v>
      </c>
      <c r="H3">
        <f t="shared" si="0"/>
        <v>2.25</v>
      </c>
      <c r="I3">
        <f t="shared" si="0"/>
        <v>2.25</v>
      </c>
      <c r="J3">
        <f t="shared" si="0"/>
        <v>2.25</v>
      </c>
      <c r="K3">
        <f t="shared" si="0"/>
        <v>2.25</v>
      </c>
      <c r="L3">
        <f t="shared" si="0"/>
        <v>2.25</v>
      </c>
      <c r="M3">
        <f>IF($B3&lt;=M$2,100*$D$1/2,0)+100</f>
        <v>102.25</v>
      </c>
      <c r="O3" s="144">
        <v>4.9500000000000002E-2</v>
      </c>
      <c r="P3">
        <f>B3</f>
        <v>0</v>
      </c>
      <c r="Q3">
        <f>P3/0.5</f>
        <v>0</v>
      </c>
      <c r="R3">
        <f>T3-S3</f>
        <v>98.028239292273796</v>
      </c>
      <c r="S3">
        <f>(100*$D$1/2)*Q3</f>
        <v>0</v>
      </c>
      <c r="T3">
        <f t="shared" ref="T3:T66" si="1">SUMPRODUCT(U3:AD3,D3:M3)</f>
        <v>98.028239292273796</v>
      </c>
      <c r="U3">
        <f t="shared" ref="U3:AD18" si="2">IF((1/(1+$O$3/2)^((U$2-$P3)*2))&lt;=1,1/(1+$O$3/2)^((U$2-$P3)*2),0)</f>
        <v>0.97584776774823123</v>
      </c>
      <c r="V3">
        <f t="shared" si="2"/>
        <v>0.95227886581920584</v>
      </c>
      <c r="W3">
        <f t="shared" si="2"/>
        <v>0.92927920548348952</v>
      </c>
      <c r="X3">
        <f t="shared" si="2"/>
        <v>0.90683503828591316</v>
      </c>
      <c r="Y3">
        <f t="shared" si="2"/>
        <v>0.88493294782719012</v>
      </c>
      <c r="Z3">
        <f t="shared" si="2"/>
        <v>0.86355984174402556</v>
      </c>
      <c r="AA3">
        <f t="shared" si="2"/>
        <v>0.84270294388292311</v>
      </c>
      <c r="AB3">
        <f t="shared" si="2"/>
        <v>0.8223497866630135</v>
      </c>
      <c r="AC3">
        <f t="shared" si="2"/>
        <v>0.80248820362333584</v>
      </c>
      <c r="AD3">
        <f t="shared" si="2"/>
        <v>0.78310632215012044</v>
      </c>
    </row>
    <row r="4" spans="2:30">
      <c r="B4">
        <v>1.2500000000000001E-2</v>
      </c>
      <c r="D4">
        <f t="shared" ref="D4:L45" si="3">IF($B4&lt;=D$2,100*$D$1/2,0)</f>
        <v>2.25</v>
      </c>
      <c r="E4">
        <f t="shared" si="0"/>
        <v>2.25</v>
      </c>
      <c r="F4">
        <f t="shared" si="0"/>
        <v>2.25</v>
      </c>
      <c r="G4">
        <f t="shared" si="0"/>
        <v>2.25</v>
      </c>
      <c r="H4">
        <f t="shared" si="0"/>
        <v>2.25</v>
      </c>
      <c r="I4">
        <f t="shared" si="0"/>
        <v>2.25</v>
      </c>
      <c r="J4">
        <f t="shared" si="0"/>
        <v>2.25</v>
      </c>
      <c r="K4">
        <f t="shared" si="0"/>
        <v>2.25</v>
      </c>
      <c r="L4">
        <f t="shared" si="0"/>
        <v>2.25</v>
      </c>
      <c r="M4">
        <f t="shared" ref="M4:M67" si="4">IF($B4&lt;=M$2,100*$D$1/2,0)+100</f>
        <v>102.25</v>
      </c>
      <c r="P4">
        <f t="shared" ref="P4:P67" si="5">B4</f>
        <v>1.2500000000000001E-2</v>
      </c>
      <c r="Q4">
        <f t="shared" ref="Q4:Q43" si="6">P4/0.5</f>
        <v>2.5000000000000001E-2</v>
      </c>
      <c r="R4">
        <f t="shared" ref="R4:R67" si="7">T4-S4</f>
        <v>98.031924134326815</v>
      </c>
      <c r="S4">
        <f>(100*$D$1/2)*Q4</f>
        <v>5.6250000000000001E-2</v>
      </c>
      <c r="T4">
        <f t="shared" si="1"/>
        <v>98.08817413432682</v>
      </c>
      <c r="U4">
        <f t="shared" si="2"/>
        <v>0.97644440482189543</v>
      </c>
      <c r="V4">
        <f t="shared" si="2"/>
        <v>0.95286109277569686</v>
      </c>
      <c r="W4">
        <f t="shared" si="2"/>
        <v>0.92984737035930409</v>
      </c>
      <c r="X4">
        <f t="shared" si="2"/>
        <v>0.90738948071168957</v>
      </c>
      <c r="Y4">
        <f t="shared" si="2"/>
        <v>0.885473999230729</v>
      </c>
      <c r="Z4">
        <f t="shared" si="2"/>
        <v>0.86408782554840602</v>
      </c>
      <c r="AA4">
        <f t="shared" si="2"/>
        <v>0.84321817569983493</v>
      </c>
      <c r="AB4">
        <f t="shared" si="2"/>
        <v>0.8228525744814198</v>
      </c>
      <c r="AC4">
        <f t="shared" si="2"/>
        <v>0.80297884799357866</v>
      </c>
      <c r="AD4">
        <f t="shared" si="2"/>
        <v>0.78358511636358008</v>
      </c>
    </row>
    <row r="5" spans="2:30">
      <c r="B5">
        <v>2.5000000000000001E-2</v>
      </c>
      <c r="D5">
        <f t="shared" si="3"/>
        <v>2.25</v>
      </c>
      <c r="E5">
        <f t="shared" si="0"/>
        <v>2.25</v>
      </c>
      <c r="F5">
        <f t="shared" si="0"/>
        <v>2.25</v>
      </c>
      <c r="G5">
        <f t="shared" si="0"/>
        <v>2.25</v>
      </c>
      <c r="H5">
        <f>IF($B5&lt;=H$2,100*$D$1/2,0)</f>
        <v>2.25</v>
      </c>
      <c r="I5">
        <f t="shared" si="0"/>
        <v>2.25</v>
      </c>
      <c r="J5">
        <f t="shared" si="0"/>
        <v>2.25</v>
      </c>
      <c r="K5">
        <f t="shared" si="0"/>
        <v>2.25</v>
      </c>
      <c r="L5">
        <f t="shared" si="0"/>
        <v>2.25</v>
      </c>
      <c r="M5">
        <f t="shared" si="4"/>
        <v>102.25</v>
      </c>
      <c r="P5">
        <f t="shared" si="5"/>
        <v>2.5000000000000001E-2</v>
      </c>
      <c r="Q5">
        <f t="shared" si="6"/>
        <v>0.05</v>
      </c>
      <c r="R5">
        <f t="shared" si="7"/>
        <v>98.035645620772485</v>
      </c>
      <c r="S5">
        <f t="shared" ref="S5:S68" si="8">(100*$D$1/2)*Q5</f>
        <v>0.1125</v>
      </c>
      <c r="T5">
        <f t="shared" si="1"/>
        <v>98.148145620772482</v>
      </c>
      <c r="U5">
        <f t="shared" si="2"/>
        <v>0.9770414066817581</v>
      </c>
      <c r="V5">
        <f t="shared" si="2"/>
        <v>0.95344367570798538</v>
      </c>
      <c r="W5">
        <f t="shared" si="2"/>
        <v>0.9304158826133061</v>
      </c>
      <c r="X5">
        <f t="shared" si="2"/>
        <v>0.90794426212569501</v>
      </c>
      <c r="Y5">
        <f t="shared" si="2"/>
        <v>0.88601538143517433</v>
      </c>
      <c r="Z5">
        <f t="shared" si="2"/>
        <v>0.86461613216411259</v>
      </c>
      <c r="AA5">
        <f t="shared" si="2"/>
        <v>0.84373372253145895</v>
      </c>
      <c r="AB5">
        <f t="shared" si="2"/>
        <v>0.82335566970622975</v>
      </c>
      <c r="AC5">
        <f t="shared" si="2"/>
        <v>0.80346979234567428</v>
      </c>
      <c r="AD5">
        <f t="shared" si="2"/>
        <v>0.78406420331366111</v>
      </c>
    </row>
    <row r="6" spans="2:30">
      <c r="B6">
        <v>3.7499999999999999E-2</v>
      </c>
      <c r="D6">
        <f t="shared" si="3"/>
        <v>2.25</v>
      </c>
      <c r="E6">
        <f t="shared" si="0"/>
        <v>2.25</v>
      </c>
      <c r="F6">
        <f t="shared" si="0"/>
        <v>2.25</v>
      </c>
      <c r="G6">
        <f t="shared" si="0"/>
        <v>2.25</v>
      </c>
      <c r="H6">
        <f t="shared" si="0"/>
        <v>2.25</v>
      </c>
      <c r="I6">
        <f t="shared" si="0"/>
        <v>2.25</v>
      </c>
      <c r="J6">
        <f t="shared" si="0"/>
        <v>2.25</v>
      </c>
      <c r="K6">
        <f t="shared" si="0"/>
        <v>2.25</v>
      </c>
      <c r="L6">
        <f t="shared" si="0"/>
        <v>2.25</v>
      </c>
      <c r="M6">
        <f t="shared" si="4"/>
        <v>102.25</v>
      </c>
      <c r="P6">
        <f t="shared" si="5"/>
        <v>3.7499999999999999E-2</v>
      </c>
      <c r="Q6">
        <f t="shared" si="6"/>
        <v>7.4999999999999997E-2</v>
      </c>
      <c r="R6">
        <f t="shared" si="7"/>
        <v>98.039403774015327</v>
      </c>
      <c r="S6">
        <f t="shared" si="8"/>
        <v>0.16874999999999998</v>
      </c>
      <c r="T6">
        <f t="shared" si="1"/>
        <v>98.208153774015329</v>
      </c>
      <c r="U6">
        <f t="shared" si="2"/>
        <v>0.97763877355085138</v>
      </c>
      <c r="V6">
        <f t="shared" si="2"/>
        <v>0.95402661483371676</v>
      </c>
      <c r="W6">
        <f t="shared" si="2"/>
        <v>0.9309847424578841</v>
      </c>
      <c r="X6">
        <f t="shared" si="2"/>
        <v>0.90849938273518804</v>
      </c>
      <c r="Y6">
        <f t="shared" si="2"/>
        <v>0.88655709464277921</v>
      </c>
      <c r="Z6">
        <f t="shared" si="2"/>
        <v>0.86514476178851352</v>
      </c>
      <c r="AA6">
        <f t="shared" si="2"/>
        <v>0.84424958457039612</v>
      </c>
      <c r="AB6">
        <f t="shared" si="2"/>
        <v>0.82385907252539259</v>
      </c>
      <c r="AC6">
        <f t="shared" si="2"/>
        <v>0.80396103686303244</v>
      </c>
      <c r="AD6">
        <f t="shared" si="2"/>
        <v>0.7845435831793437</v>
      </c>
    </row>
    <row r="7" spans="2:30">
      <c r="B7">
        <v>0.05</v>
      </c>
      <c r="D7">
        <f t="shared" si="3"/>
        <v>2.25</v>
      </c>
      <c r="E7">
        <f t="shared" si="0"/>
        <v>2.25</v>
      </c>
      <c r="F7">
        <f t="shared" si="0"/>
        <v>2.25</v>
      </c>
      <c r="G7">
        <f t="shared" si="0"/>
        <v>2.25</v>
      </c>
      <c r="H7">
        <f t="shared" si="0"/>
        <v>2.25</v>
      </c>
      <c r="I7">
        <f t="shared" si="0"/>
        <v>2.25</v>
      </c>
      <c r="J7">
        <f t="shared" si="0"/>
        <v>2.25</v>
      </c>
      <c r="K7">
        <f t="shared" si="0"/>
        <v>2.25</v>
      </c>
      <c r="L7">
        <f t="shared" si="0"/>
        <v>2.25</v>
      </c>
      <c r="M7">
        <f t="shared" si="4"/>
        <v>102.25</v>
      </c>
      <c r="P7">
        <f t="shared" si="5"/>
        <v>0.05</v>
      </c>
      <c r="Q7">
        <f t="shared" si="6"/>
        <v>0.1</v>
      </c>
      <c r="R7">
        <f t="shared" si="7"/>
        <v>98.043198616473603</v>
      </c>
      <c r="S7">
        <f t="shared" si="8"/>
        <v>0.22500000000000001</v>
      </c>
      <c r="T7">
        <f t="shared" si="1"/>
        <v>98.268198616473597</v>
      </c>
      <c r="U7">
        <f t="shared" si="2"/>
        <v>0.97823650565234288</v>
      </c>
      <c r="V7">
        <f t="shared" si="2"/>
        <v>0.95460991037066867</v>
      </c>
      <c r="W7">
        <f t="shared" si="2"/>
        <v>0.93155395010555608</v>
      </c>
      <c r="X7">
        <f t="shared" si="2"/>
        <v>0.90905484274755399</v>
      </c>
      <c r="Y7">
        <f t="shared" si="2"/>
        <v>0.88709913905591997</v>
      </c>
      <c r="Z7">
        <f t="shared" si="2"/>
        <v>0.86567371461909726</v>
      </c>
      <c r="AA7">
        <f t="shared" si="2"/>
        <v>0.84476576200936548</v>
      </c>
      <c r="AB7">
        <f t="shared" si="2"/>
        <v>0.82436278312697275</v>
      </c>
      <c r="AC7">
        <f t="shared" si="2"/>
        <v>0.80445258172917566</v>
      </c>
      <c r="AD7">
        <f t="shared" si="2"/>
        <v>0.78502325613971757</v>
      </c>
    </row>
    <row r="8" spans="2:30">
      <c r="B8">
        <v>6.25E-2</v>
      </c>
      <c r="D8">
        <f t="shared" si="3"/>
        <v>2.25</v>
      </c>
      <c r="E8">
        <f t="shared" si="0"/>
        <v>2.25</v>
      </c>
      <c r="F8">
        <f t="shared" si="0"/>
        <v>2.25</v>
      </c>
      <c r="G8">
        <f t="shared" si="0"/>
        <v>2.25</v>
      </c>
      <c r="H8">
        <f t="shared" si="0"/>
        <v>2.25</v>
      </c>
      <c r="I8">
        <f t="shared" si="0"/>
        <v>2.25</v>
      </c>
      <c r="J8">
        <f t="shared" si="0"/>
        <v>2.25</v>
      </c>
      <c r="K8">
        <f t="shared" si="0"/>
        <v>2.25</v>
      </c>
      <c r="L8">
        <f t="shared" si="0"/>
        <v>2.25</v>
      </c>
      <c r="M8">
        <f t="shared" si="4"/>
        <v>102.25</v>
      </c>
      <c r="P8">
        <f t="shared" si="5"/>
        <v>6.25E-2</v>
      </c>
      <c r="Q8">
        <f t="shared" si="6"/>
        <v>0.125</v>
      </c>
      <c r="R8">
        <f t="shared" si="7"/>
        <v>98.047030170579177</v>
      </c>
      <c r="S8">
        <f t="shared" si="8"/>
        <v>0.28125</v>
      </c>
      <c r="T8">
        <f t="shared" si="1"/>
        <v>98.328280170579177</v>
      </c>
      <c r="U8">
        <f t="shared" si="2"/>
        <v>0.97883460320953708</v>
      </c>
      <c r="V8">
        <f t="shared" si="2"/>
        <v>0.95519356253675247</v>
      </c>
      <c r="W8">
        <f t="shared" si="2"/>
        <v>0.93212350576897052</v>
      </c>
      <c r="X8">
        <f t="shared" si="2"/>
        <v>0.90961064237030542</v>
      </c>
      <c r="Y8">
        <f t="shared" si="2"/>
        <v>0.88764151487709708</v>
      </c>
      <c r="Z8">
        <f t="shared" si="2"/>
        <v>0.86620299085347352</v>
      </c>
      <c r="AA8">
        <f t="shared" si="2"/>
        <v>0.8452822550412038</v>
      </c>
      <c r="AB8">
        <f t="shared" si="2"/>
        <v>0.82486680169914983</v>
      </c>
      <c r="AC8">
        <f t="shared" si="2"/>
        <v>0.80494442712773817</v>
      </c>
      <c r="AD8">
        <f t="shared" si="2"/>
        <v>0.78550322237398207</v>
      </c>
    </row>
    <row r="9" spans="2:30">
      <c r="B9">
        <v>7.4999999999999997E-2</v>
      </c>
      <c r="D9">
        <f t="shared" si="3"/>
        <v>2.25</v>
      </c>
      <c r="E9">
        <f t="shared" si="0"/>
        <v>2.25</v>
      </c>
      <c r="F9">
        <f t="shared" si="0"/>
        <v>2.25</v>
      </c>
      <c r="G9">
        <f t="shared" si="0"/>
        <v>2.25</v>
      </c>
      <c r="H9">
        <f t="shared" si="0"/>
        <v>2.25</v>
      </c>
      <c r="I9">
        <f t="shared" si="0"/>
        <v>2.25</v>
      </c>
      <c r="J9">
        <f t="shared" si="0"/>
        <v>2.25</v>
      </c>
      <c r="K9">
        <f t="shared" si="0"/>
        <v>2.25</v>
      </c>
      <c r="L9">
        <f t="shared" si="0"/>
        <v>2.25</v>
      </c>
      <c r="M9">
        <f t="shared" si="4"/>
        <v>102.25</v>
      </c>
      <c r="P9">
        <f t="shared" si="5"/>
        <v>7.4999999999999997E-2</v>
      </c>
      <c r="Q9">
        <f t="shared" si="6"/>
        <v>0.15</v>
      </c>
      <c r="R9">
        <f t="shared" si="7"/>
        <v>98.050898458777723</v>
      </c>
      <c r="S9">
        <f t="shared" si="8"/>
        <v>0.33749999999999997</v>
      </c>
      <c r="T9">
        <f t="shared" si="1"/>
        <v>98.388398458777729</v>
      </c>
      <c r="U9">
        <f t="shared" si="2"/>
        <v>0.97943306644587558</v>
      </c>
      <c r="V9">
        <f t="shared" si="2"/>
        <v>0.95577757155001264</v>
      </c>
      <c r="W9">
        <f t="shared" si="2"/>
        <v>0.93269340966090508</v>
      </c>
      <c r="X9">
        <f t="shared" si="2"/>
        <v>0.91016678181108079</v>
      </c>
      <c r="Y9">
        <f t="shared" si="2"/>
        <v>0.88818422230893457</v>
      </c>
      <c r="Z9">
        <f t="shared" si="2"/>
        <v>0.8667325906893727</v>
      </c>
      <c r="AA9">
        <f t="shared" si="2"/>
        <v>0.84579906385886561</v>
      </c>
      <c r="AB9">
        <f t="shared" si="2"/>
        <v>0.82537112843021765</v>
      </c>
      <c r="AC9">
        <f t="shared" si="2"/>
        <v>0.80543657324246665</v>
      </c>
      <c r="AD9">
        <f t="shared" si="2"/>
        <v>0.78598348206144586</v>
      </c>
    </row>
    <row r="10" spans="2:30">
      <c r="B10">
        <v>8.7499999999999994E-2</v>
      </c>
      <c r="D10">
        <f t="shared" si="3"/>
        <v>2.25</v>
      </c>
      <c r="E10">
        <f t="shared" si="0"/>
        <v>2.25</v>
      </c>
      <c r="F10">
        <f t="shared" si="0"/>
        <v>2.25</v>
      </c>
      <c r="G10">
        <f t="shared" si="0"/>
        <v>2.25</v>
      </c>
      <c r="H10">
        <f t="shared" si="0"/>
        <v>2.25</v>
      </c>
      <c r="I10">
        <f t="shared" si="0"/>
        <v>2.25</v>
      </c>
      <c r="J10">
        <f t="shared" si="0"/>
        <v>2.25</v>
      </c>
      <c r="K10">
        <f t="shared" si="0"/>
        <v>2.25</v>
      </c>
      <c r="L10">
        <f t="shared" si="0"/>
        <v>2.25</v>
      </c>
      <c r="M10">
        <f t="shared" si="4"/>
        <v>102.25</v>
      </c>
      <c r="P10">
        <f t="shared" si="5"/>
        <v>8.7499999999999994E-2</v>
      </c>
      <c r="Q10">
        <f t="shared" si="6"/>
        <v>0.17499999999999999</v>
      </c>
      <c r="R10">
        <f t="shared" si="7"/>
        <v>98.054803503528618</v>
      </c>
      <c r="S10">
        <f t="shared" si="8"/>
        <v>0.39374999999999999</v>
      </c>
      <c r="T10">
        <f t="shared" si="1"/>
        <v>98.448553503528615</v>
      </c>
      <c r="U10">
        <f t="shared" si="2"/>
        <v>0.98003189558493531</v>
      </c>
      <c r="V10">
        <f t="shared" si="2"/>
        <v>0.95636193762862676</v>
      </c>
      <c r="W10">
        <f t="shared" si="2"/>
        <v>0.93326366199426847</v>
      </c>
      <c r="X10">
        <f t="shared" si="2"/>
        <v>0.91072326127764669</v>
      </c>
      <c r="Y10">
        <f t="shared" si="2"/>
        <v>0.88872726155418069</v>
      </c>
      <c r="Z10">
        <f t="shared" si="2"/>
        <v>0.86726251432464574</v>
      </c>
      <c r="AA10">
        <f t="shared" si="2"/>
        <v>0.84631618865542391</v>
      </c>
      <c r="AB10">
        <f t="shared" si="2"/>
        <v>0.82587576350858638</v>
      </c>
      <c r="AC10">
        <f t="shared" si="2"/>
        <v>0.80592902025722013</v>
      </c>
      <c r="AD10">
        <f t="shared" si="2"/>
        <v>0.78646403538152732</v>
      </c>
    </row>
    <row r="11" spans="2:30">
      <c r="B11">
        <v>0.1</v>
      </c>
      <c r="D11">
        <f t="shared" si="3"/>
        <v>2.25</v>
      </c>
      <c r="E11">
        <f t="shared" si="0"/>
        <v>2.25</v>
      </c>
      <c r="F11">
        <f t="shared" si="0"/>
        <v>2.25</v>
      </c>
      <c r="G11">
        <f t="shared" si="0"/>
        <v>2.25</v>
      </c>
      <c r="H11">
        <f t="shared" si="0"/>
        <v>2.25</v>
      </c>
      <c r="I11">
        <f t="shared" si="0"/>
        <v>2.25</v>
      </c>
      <c r="J11">
        <f t="shared" si="0"/>
        <v>2.25</v>
      </c>
      <c r="K11">
        <f t="shared" si="0"/>
        <v>2.25</v>
      </c>
      <c r="L11">
        <f t="shared" si="0"/>
        <v>2.25</v>
      </c>
      <c r="M11">
        <f t="shared" si="4"/>
        <v>102.25</v>
      </c>
      <c r="P11">
        <f t="shared" si="5"/>
        <v>0.1</v>
      </c>
      <c r="Q11">
        <f t="shared" si="6"/>
        <v>0.2</v>
      </c>
      <c r="R11">
        <f t="shared" si="7"/>
        <v>98.058745327304919</v>
      </c>
      <c r="S11">
        <f t="shared" si="8"/>
        <v>0.45</v>
      </c>
      <c r="T11">
        <f t="shared" si="1"/>
        <v>98.508745327304922</v>
      </c>
      <c r="U11">
        <f t="shared" si="2"/>
        <v>0.98063109085043088</v>
      </c>
      <c r="V11">
        <f t="shared" si="2"/>
        <v>0.95694666099090597</v>
      </c>
      <c r="W11">
        <f t="shared" si="2"/>
        <v>0.93383426298209904</v>
      </c>
      <c r="X11">
        <f t="shared" si="2"/>
        <v>0.91128008097789603</v>
      </c>
      <c r="Y11">
        <f t="shared" si="2"/>
        <v>0.88927063281570717</v>
      </c>
      <c r="Z11">
        <f t="shared" si="2"/>
        <v>0.86779276195726485</v>
      </c>
      <c r="AA11">
        <f t="shared" si="2"/>
        <v>0.84683362962406916</v>
      </c>
      <c r="AB11">
        <f t="shared" si="2"/>
        <v>0.82638070712278033</v>
      </c>
      <c r="AC11">
        <f t="shared" si="2"/>
        <v>0.80642176835597001</v>
      </c>
      <c r="AD11">
        <f t="shared" si="2"/>
        <v>0.7869448825137545</v>
      </c>
    </row>
    <row r="12" spans="2:30">
      <c r="B12">
        <v>0.1125</v>
      </c>
      <c r="D12">
        <f t="shared" si="3"/>
        <v>2.25</v>
      </c>
      <c r="E12">
        <f t="shared" si="0"/>
        <v>2.25</v>
      </c>
      <c r="F12">
        <f t="shared" si="0"/>
        <v>2.25</v>
      </c>
      <c r="G12">
        <f t="shared" si="0"/>
        <v>2.25</v>
      </c>
      <c r="H12">
        <f t="shared" si="0"/>
        <v>2.25</v>
      </c>
      <c r="I12">
        <f t="shared" si="0"/>
        <v>2.25</v>
      </c>
      <c r="J12">
        <f t="shared" si="0"/>
        <v>2.25</v>
      </c>
      <c r="K12">
        <f t="shared" si="0"/>
        <v>2.25</v>
      </c>
      <c r="L12">
        <f t="shared" si="0"/>
        <v>2.25</v>
      </c>
      <c r="M12">
        <f t="shared" si="4"/>
        <v>102.25</v>
      </c>
      <c r="P12">
        <f t="shared" si="5"/>
        <v>0.1125</v>
      </c>
      <c r="Q12">
        <f t="shared" si="6"/>
        <v>0.22500000000000001</v>
      </c>
      <c r="R12">
        <f t="shared" si="7"/>
        <v>98.062723952593515</v>
      </c>
      <c r="S12">
        <f t="shared" si="8"/>
        <v>0.50624999999999998</v>
      </c>
      <c r="T12">
        <f t="shared" si="1"/>
        <v>98.56897395259351</v>
      </c>
      <c r="U12">
        <f t="shared" si="2"/>
        <v>0.98123065246621366</v>
      </c>
      <c r="V12">
        <f t="shared" si="2"/>
        <v>0.9575317418552951</v>
      </c>
      <c r="W12">
        <f t="shared" si="2"/>
        <v>0.93440521283756539</v>
      </c>
      <c r="X12">
        <f t="shared" si="2"/>
        <v>0.91183724111984898</v>
      </c>
      <c r="Y12">
        <f t="shared" si="2"/>
        <v>0.8898143362965103</v>
      </c>
      <c r="Z12">
        <f t="shared" si="2"/>
        <v>0.86832333378532345</v>
      </c>
      <c r="AA12">
        <f t="shared" si="2"/>
        <v>0.84735138695811019</v>
      </c>
      <c r="AB12">
        <f t="shared" si="2"/>
        <v>0.8268859594614395</v>
      </c>
      <c r="AC12">
        <f t="shared" si="2"/>
        <v>0.80691481772280016</v>
      </c>
      <c r="AD12">
        <f t="shared" si="2"/>
        <v>0.78742602363776548</v>
      </c>
    </row>
    <row r="13" spans="2:30">
      <c r="B13">
        <v>0.125</v>
      </c>
      <c r="D13">
        <f t="shared" si="3"/>
        <v>2.25</v>
      </c>
      <c r="E13">
        <f t="shared" si="0"/>
        <v>2.25</v>
      </c>
      <c r="F13">
        <f t="shared" si="0"/>
        <v>2.25</v>
      </c>
      <c r="G13">
        <f t="shared" si="0"/>
        <v>2.25</v>
      </c>
      <c r="H13">
        <f t="shared" si="0"/>
        <v>2.25</v>
      </c>
      <c r="I13">
        <f t="shared" si="0"/>
        <v>2.25</v>
      </c>
      <c r="J13">
        <f t="shared" si="0"/>
        <v>2.25</v>
      </c>
      <c r="K13">
        <f t="shared" si="0"/>
        <v>2.25</v>
      </c>
      <c r="L13">
        <f t="shared" si="0"/>
        <v>2.25</v>
      </c>
      <c r="M13">
        <f t="shared" si="4"/>
        <v>102.25</v>
      </c>
      <c r="P13">
        <f t="shared" si="5"/>
        <v>0.125</v>
      </c>
      <c r="Q13">
        <f t="shared" si="6"/>
        <v>0.25</v>
      </c>
      <c r="R13">
        <f t="shared" si="7"/>
        <v>98.066739401894949</v>
      </c>
      <c r="S13">
        <f t="shared" si="8"/>
        <v>0.5625</v>
      </c>
      <c r="T13">
        <f t="shared" si="1"/>
        <v>98.629239401894949</v>
      </c>
      <c r="U13">
        <f t="shared" si="2"/>
        <v>0.98183058065627116</v>
      </c>
      <c r="V13">
        <f t="shared" si="2"/>
        <v>0.95811718044037208</v>
      </c>
      <c r="W13">
        <f t="shared" si="2"/>
        <v>0.93497651177396635</v>
      </c>
      <c r="X13">
        <f t="shared" si="2"/>
        <v>0.91239474191165282</v>
      </c>
      <c r="Y13">
        <f t="shared" si="2"/>
        <v>0.89035837219971004</v>
      </c>
      <c r="Z13">
        <f t="shared" si="2"/>
        <v>0.86885423000703577</v>
      </c>
      <c r="AA13">
        <f t="shared" si="2"/>
        <v>0.84786946085097425</v>
      </c>
      <c r="AB13">
        <f t="shared" si="2"/>
        <v>0.82739152071331945</v>
      </c>
      <c r="AC13">
        <f t="shared" si="2"/>
        <v>0.80740816854190722</v>
      </c>
      <c r="AD13">
        <f t="shared" si="2"/>
        <v>0.78790745893330782</v>
      </c>
    </row>
    <row r="14" spans="2:30">
      <c r="B14">
        <v>0.13750000000000001</v>
      </c>
      <c r="D14">
        <f t="shared" si="3"/>
        <v>2.25</v>
      </c>
      <c r="E14">
        <f t="shared" si="0"/>
        <v>2.25</v>
      </c>
      <c r="F14">
        <f t="shared" si="0"/>
        <v>2.25</v>
      </c>
      <c r="G14">
        <f t="shared" si="0"/>
        <v>2.25</v>
      </c>
      <c r="H14">
        <f t="shared" si="0"/>
        <v>2.25</v>
      </c>
      <c r="I14">
        <f t="shared" si="0"/>
        <v>2.25</v>
      </c>
      <c r="J14">
        <f t="shared" si="0"/>
        <v>2.25</v>
      </c>
      <c r="K14">
        <f t="shared" si="0"/>
        <v>2.25</v>
      </c>
      <c r="L14">
        <f t="shared" si="0"/>
        <v>2.25</v>
      </c>
      <c r="M14">
        <f t="shared" si="4"/>
        <v>102.25</v>
      </c>
      <c r="P14">
        <f t="shared" si="5"/>
        <v>0.13750000000000001</v>
      </c>
      <c r="Q14">
        <f t="shared" si="6"/>
        <v>0.27500000000000002</v>
      </c>
      <c r="R14">
        <f t="shared" si="7"/>
        <v>98.070791697723564</v>
      </c>
      <c r="S14">
        <f t="shared" si="8"/>
        <v>0.61875000000000002</v>
      </c>
      <c r="T14">
        <f t="shared" si="1"/>
        <v>98.68954169772357</v>
      </c>
      <c r="U14">
        <f t="shared" si="2"/>
        <v>0.98243087564472875</v>
      </c>
      <c r="V14">
        <f t="shared" si="2"/>
        <v>0.95870297696484874</v>
      </c>
      <c r="W14">
        <f t="shared" si="2"/>
        <v>0.93554816000473162</v>
      </c>
      <c r="X14">
        <f t="shared" si="2"/>
        <v>0.91295258356158249</v>
      </c>
      <c r="Y14">
        <f t="shared" si="2"/>
        <v>0.8909027407285508</v>
      </c>
      <c r="Z14">
        <f t="shared" si="2"/>
        <v>0.86938545082073737</v>
      </c>
      <c r="AA14">
        <f t="shared" si="2"/>
        <v>0.84838785149620632</v>
      </c>
      <c r="AB14">
        <f t="shared" si="2"/>
        <v>0.82789739106729077</v>
      </c>
      <c r="AC14">
        <f t="shared" si="2"/>
        <v>0.80790182099760011</v>
      </c>
      <c r="AD14">
        <f t="shared" si="2"/>
        <v>0.7883891885802391</v>
      </c>
    </row>
    <row r="15" spans="2:30">
      <c r="B15">
        <v>0.15</v>
      </c>
      <c r="D15">
        <f t="shared" si="3"/>
        <v>2.25</v>
      </c>
      <c r="E15">
        <f t="shared" si="0"/>
        <v>2.25</v>
      </c>
      <c r="F15">
        <f t="shared" si="0"/>
        <v>2.25</v>
      </c>
      <c r="G15">
        <f t="shared" si="0"/>
        <v>2.25</v>
      </c>
      <c r="H15">
        <f t="shared" si="0"/>
        <v>2.25</v>
      </c>
      <c r="I15">
        <f t="shared" si="0"/>
        <v>2.25</v>
      </c>
      <c r="J15">
        <f t="shared" si="0"/>
        <v>2.25</v>
      </c>
      <c r="K15">
        <f t="shared" si="0"/>
        <v>2.25</v>
      </c>
      <c r="L15">
        <f t="shared" si="0"/>
        <v>2.25</v>
      </c>
      <c r="M15">
        <f t="shared" si="4"/>
        <v>102.25</v>
      </c>
      <c r="P15">
        <f t="shared" si="5"/>
        <v>0.15</v>
      </c>
      <c r="Q15">
        <f t="shared" si="6"/>
        <v>0.3</v>
      </c>
      <c r="R15">
        <f t="shared" si="7"/>
        <v>98.074880862607515</v>
      </c>
      <c r="S15">
        <f t="shared" si="8"/>
        <v>0.67499999999999993</v>
      </c>
      <c r="T15">
        <f t="shared" si="1"/>
        <v>98.749880862607512</v>
      </c>
      <c r="U15">
        <f t="shared" si="2"/>
        <v>0.98303153765584805</v>
      </c>
      <c r="V15">
        <f t="shared" si="2"/>
        <v>0.95928913164757079</v>
      </c>
      <c r="W15">
        <f t="shared" si="2"/>
        <v>0.93612015774342094</v>
      </c>
      <c r="X15">
        <f t="shared" si="2"/>
        <v>0.9135107662780394</v>
      </c>
      <c r="Y15">
        <f t="shared" si="2"/>
        <v>0.89144744208640103</v>
      </c>
      <c r="Z15">
        <f t="shared" si="2"/>
        <v>0.86991699642488507</v>
      </c>
      <c r="AA15">
        <f t="shared" si="2"/>
        <v>0.84890655908747015</v>
      </c>
      <c r="AB15">
        <f t="shared" si="2"/>
        <v>0.82840357071233961</v>
      </c>
      <c r="AC15">
        <f t="shared" si="2"/>
        <v>0.80839577527430062</v>
      </c>
      <c r="AD15">
        <f t="shared" si="2"/>
        <v>0.78887121275852712</v>
      </c>
    </row>
    <row r="16" spans="2:30">
      <c r="B16">
        <v>0.16250000000000001</v>
      </c>
      <c r="D16">
        <f t="shared" si="3"/>
        <v>2.25</v>
      </c>
      <c r="E16">
        <f t="shared" si="0"/>
        <v>2.25</v>
      </c>
      <c r="F16">
        <f t="shared" si="0"/>
        <v>2.25</v>
      </c>
      <c r="G16">
        <f t="shared" si="0"/>
        <v>2.25</v>
      </c>
      <c r="H16">
        <f t="shared" si="0"/>
        <v>2.25</v>
      </c>
      <c r="I16">
        <f t="shared" si="0"/>
        <v>2.25</v>
      </c>
      <c r="J16">
        <f t="shared" si="0"/>
        <v>2.25</v>
      </c>
      <c r="K16">
        <f t="shared" si="0"/>
        <v>2.25</v>
      </c>
      <c r="L16">
        <f t="shared" si="0"/>
        <v>2.25</v>
      </c>
      <c r="M16">
        <f t="shared" si="4"/>
        <v>102.25</v>
      </c>
      <c r="P16">
        <f t="shared" si="5"/>
        <v>0.16250000000000001</v>
      </c>
      <c r="Q16">
        <f t="shared" si="6"/>
        <v>0.32500000000000001</v>
      </c>
      <c r="R16">
        <f t="shared" si="7"/>
        <v>98.079006919088627</v>
      </c>
      <c r="S16">
        <f t="shared" si="8"/>
        <v>0.73125000000000007</v>
      </c>
      <c r="T16">
        <f t="shared" si="1"/>
        <v>98.81025691908863</v>
      </c>
      <c r="U16">
        <f t="shared" si="2"/>
        <v>0.98363256691402823</v>
      </c>
      <c r="V16">
        <f t="shared" si="2"/>
        <v>0.95987564470751729</v>
      </c>
      <c r="W16">
        <f t="shared" si="2"/>
        <v>0.93669250520372505</v>
      </c>
      <c r="X16">
        <f t="shared" si="2"/>
        <v>0.91406929026955341</v>
      </c>
      <c r="Y16">
        <f t="shared" si="2"/>
        <v>0.89199247647675373</v>
      </c>
      <c r="Z16">
        <f t="shared" si="2"/>
        <v>0.87044886701805679</v>
      </c>
      <c r="AA16">
        <f t="shared" si="2"/>
        <v>0.84942558381854771</v>
      </c>
      <c r="AB16">
        <f t="shared" si="2"/>
        <v>0.82891005983756783</v>
      </c>
      <c r="AC16">
        <f t="shared" si="2"/>
        <v>0.80889003155654338</v>
      </c>
      <c r="AD16">
        <f t="shared" si="2"/>
        <v>0.78935353164824917</v>
      </c>
    </row>
    <row r="17" spans="2:30">
      <c r="B17">
        <v>0.17499999999999999</v>
      </c>
      <c r="D17">
        <f t="shared" si="3"/>
        <v>2.25</v>
      </c>
      <c r="E17">
        <f t="shared" si="0"/>
        <v>2.25</v>
      </c>
      <c r="F17">
        <f t="shared" si="0"/>
        <v>2.25</v>
      </c>
      <c r="G17">
        <f t="shared" si="0"/>
        <v>2.25</v>
      </c>
      <c r="H17">
        <f t="shared" si="0"/>
        <v>2.25</v>
      </c>
      <c r="I17">
        <f t="shared" si="0"/>
        <v>2.25</v>
      </c>
      <c r="J17">
        <f t="shared" si="0"/>
        <v>2.25</v>
      </c>
      <c r="K17">
        <f t="shared" si="0"/>
        <v>2.25</v>
      </c>
      <c r="L17">
        <f t="shared" si="0"/>
        <v>2.25</v>
      </c>
      <c r="M17">
        <f t="shared" si="4"/>
        <v>102.25</v>
      </c>
      <c r="P17">
        <f t="shared" si="5"/>
        <v>0.17499999999999999</v>
      </c>
      <c r="Q17">
        <f t="shared" si="6"/>
        <v>0.35</v>
      </c>
      <c r="R17">
        <f t="shared" si="7"/>
        <v>98.083169889722626</v>
      </c>
      <c r="S17">
        <f t="shared" si="8"/>
        <v>0.78749999999999998</v>
      </c>
      <c r="T17">
        <f t="shared" si="1"/>
        <v>98.87066988972262</v>
      </c>
      <c r="U17">
        <f t="shared" si="2"/>
        <v>0.98423396364380566</v>
      </c>
      <c r="V17">
        <f t="shared" si="2"/>
        <v>0.96046251636380153</v>
      </c>
      <c r="W17">
        <f t="shared" si="2"/>
        <v>0.93726520259946466</v>
      </c>
      <c r="X17">
        <f t="shared" si="2"/>
        <v>0.91462815574478129</v>
      </c>
      <c r="Y17">
        <f t="shared" si="2"/>
        <v>0.89253784410322634</v>
      </c>
      <c r="Z17">
        <f t="shared" si="2"/>
        <v>0.87098106279895227</v>
      </c>
      <c r="AA17">
        <f t="shared" si="2"/>
        <v>0.84994492588333959</v>
      </c>
      <c r="AB17">
        <f t="shared" si="2"/>
        <v>0.82941685863219272</v>
      </c>
      <c r="AC17">
        <f t="shared" si="2"/>
        <v>0.80938459002897567</v>
      </c>
      <c r="AD17">
        <f t="shared" si="2"/>
        <v>0.78983614542959313</v>
      </c>
    </row>
    <row r="18" spans="2:30">
      <c r="B18">
        <v>0.1875</v>
      </c>
      <c r="D18">
        <f t="shared" si="3"/>
        <v>2.25</v>
      </c>
      <c r="E18">
        <f t="shared" si="0"/>
        <v>2.25</v>
      </c>
      <c r="F18">
        <f t="shared" si="0"/>
        <v>2.25</v>
      </c>
      <c r="G18">
        <f t="shared" si="0"/>
        <v>2.25</v>
      </c>
      <c r="H18">
        <f t="shared" si="0"/>
        <v>2.25</v>
      </c>
      <c r="I18">
        <f t="shared" si="0"/>
        <v>2.25</v>
      </c>
      <c r="J18">
        <f t="shared" si="0"/>
        <v>2.25</v>
      </c>
      <c r="K18">
        <f t="shared" si="0"/>
        <v>2.25</v>
      </c>
      <c r="L18">
        <f t="shared" si="0"/>
        <v>2.25</v>
      </c>
      <c r="M18">
        <f t="shared" si="4"/>
        <v>102.25</v>
      </c>
      <c r="P18">
        <f t="shared" si="5"/>
        <v>0.1875</v>
      </c>
      <c r="Q18">
        <f t="shared" si="6"/>
        <v>0.375</v>
      </c>
      <c r="R18">
        <f t="shared" si="7"/>
        <v>98.087369797078907</v>
      </c>
      <c r="S18">
        <f t="shared" si="8"/>
        <v>0.84375</v>
      </c>
      <c r="T18">
        <f t="shared" si="1"/>
        <v>98.931119797078907</v>
      </c>
      <c r="U18">
        <f t="shared" si="2"/>
        <v>0.98483572806985353</v>
      </c>
      <c r="V18">
        <f t="shared" si="2"/>
        <v>0.96104974683567079</v>
      </c>
      <c r="W18">
        <f t="shared" si="2"/>
        <v>0.9378382501445921</v>
      </c>
      <c r="X18">
        <f t="shared" si="2"/>
        <v>0.91518736291250746</v>
      </c>
      <c r="Y18">
        <f t="shared" si="2"/>
        <v>0.89308354516956079</v>
      </c>
      <c r="Z18">
        <f t="shared" si="2"/>
        <v>0.87151358396639256</v>
      </c>
      <c r="AA18">
        <f t="shared" si="2"/>
        <v>0.8504645854758649</v>
      </c>
      <c r="AB18">
        <f t="shared" si="2"/>
        <v>0.82992396728554751</v>
      </c>
      <c r="AC18">
        <f t="shared" si="2"/>
        <v>0.80987945087635749</v>
      </c>
      <c r="AD18">
        <f t="shared" si="2"/>
        <v>0.79031905428285687</v>
      </c>
    </row>
    <row r="19" spans="2:30">
      <c r="B19">
        <v>0.2</v>
      </c>
      <c r="D19">
        <f t="shared" si="3"/>
        <v>2.25</v>
      </c>
      <c r="E19">
        <f t="shared" si="3"/>
        <v>2.25</v>
      </c>
      <c r="F19">
        <f t="shared" si="3"/>
        <v>2.25</v>
      </c>
      <c r="G19">
        <f t="shared" si="3"/>
        <v>2.25</v>
      </c>
      <c r="H19">
        <f t="shared" si="3"/>
        <v>2.25</v>
      </c>
      <c r="I19">
        <f t="shared" si="3"/>
        <v>2.25</v>
      </c>
      <c r="J19">
        <f t="shared" si="3"/>
        <v>2.25</v>
      </c>
      <c r="K19">
        <f t="shared" si="3"/>
        <v>2.25</v>
      </c>
      <c r="L19">
        <f t="shared" si="3"/>
        <v>2.25</v>
      </c>
      <c r="M19">
        <f t="shared" si="4"/>
        <v>102.25</v>
      </c>
      <c r="P19">
        <f t="shared" si="5"/>
        <v>0.2</v>
      </c>
      <c r="Q19">
        <f t="shared" si="6"/>
        <v>0.4</v>
      </c>
      <c r="R19">
        <f t="shared" si="7"/>
        <v>98.09160666374072</v>
      </c>
      <c r="S19">
        <f t="shared" si="8"/>
        <v>0.9</v>
      </c>
      <c r="T19">
        <f t="shared" si="1"/>
        <v>98.991606663740725</v>
      </c>
      <c r="U19">
        <f t="shared" ref="U19:AD34" si="9">IF((1/(1+$O$3/2)^((U$2-$P19)*2))&lt;=1,1/(1+$O$3/2)^((U$2-$P19)*2),0)</f>
        <v>0.98543786041698334</v>
      </c>
      <c r="V19">
        <f t="shared" si="9"/>
        <v>0.96163733634250614</v>
      </c>
      <c r="W19">
        <f t="shared" si="9"/>
        <v>0.93841164805318977</v>
      </c>
      <c r="X19">
        <f t="shared" si="9"/>
        <v>0.91574691198164393</v>
      </c>
      <c r="Y19">
        <f t="shared" si="9"/>
        <v>0.89362957987962333</v>
      </c>
      <c r="Z19">
        <f t="shared" si="9"/>
        <v>0.87204643071932009</v>
      </c>
      <c r="AA19">
        <f t="shared" si="9"/>
        <v>0.85098456279026102</v>
      </c>
      <c r="AB19">
        <f t="shared" si="9"/>
        <v>0.83043138598708077</v>
      </c>
      <c r="AC19">
        <f t="shared" si="9"/>
        <v>0.8103746142835625</v>
      </c>
      <c r="AD19">
        <f t="shared" si="9"/>
        <v>0.79080225838844842</v>
      </c>
    </row>
    <row r="20" spans="2:30">
      <c r="B20">
        <v>0.21249999999999999</v>
      </c>
      <c r="D20">
        <f t="shared" si="3"/>
        <v>2.25</v>
      </c>
      <c r="E20">
        <f t="shared" si="3"/>
        <v>2.25</v>
      </c>
      <c r="F20">
        <f t="shared" si="3"/>
        <v>2.25</v>
      </c>
      <c r="G20">
        <f t="shared" si="3"/>
        <v>2.25</v>
      </c>
      <c r="H20">
        <f t="shared" si="3"/>
        <v>2.25</v>
      </c>
      <c r="I20">
        <f t="shared" si="3"/>
        <v>2.25</v>
      </c>
      <c r="J20">
        <f t="shared" si="3"/>
        <v>2.25</v>
      </c>
      <c r="K20">
        <f t="shared" si="3"/>
        <v>2.25</v>
      </c>
      <c r="L20">
        <f t="shared" si="3"/>
        <v>2.25</v>
      </c>
      <c r="M20">
        <f t="shared" si="4"/>
        <v>102.25</v>
      </c>
      <c r="P20">
        <f t="shared" si="5"/>
        <v>0.21249999999999999</v>
      </c>
      <c r="Q20">
        <f t="shared" si="6"/>
        <v>0.42499999999999999</v>
      </c>
      <c r="R20">
        <f t="shared" si="7"/>
        <v>98.0958805123052</v>
      </c>
      <c r="S20">
        <f t="shared" si="8"/>
        <v>0.95624999999999993</v>
      </c>
      <c r="T20">
        <f t="shared" si="1"/>
        <v>99.052130512305197</v>
      </c>
      <c r="U20">
        <f t="shared" si="9"/>
        <v>0.98604036091014291</v>
      </c>
      <c r="V20">
        <f t="shared" si="9"/>
        <v>0.96222528510382321</v>
      </c>
      <c r="W20">
        <f t="shared" si="9"/>
        <v>0.93898539653947122</v>
      </c>
      <c r="X20">
        <f t="shared" si="9"/>
        <v>0.9163068031612307</v>
      </c>
      <c r="Y20">
        <f t="shared" si="9"/>
        <v>0.89417594843740489</v>
      </c>
      <c r="Z20">
        <f t="shared" si="9"/>
        <v>0.87257960325679917</v>
      </c>
      <c r="AA20">
        <f t="shared" si="9"/>
        <v>0.85150485802078468</v>
      </c>
      <c r="AB20">
        <f t="shared" si="9"/>
        <v>0.8309391149263573</v>
      </c>
      <c r="AC20">
        <f t="shared" si="9"/>
        <v>0.81087008043557673</v>
      </c>
      <c r="AD20">
        <f t="shared" si="9"/>
        <v>0.79128575792688627</v>
      </c>
    </row>
    <row r="21" spans="2:30">
      <c r="B21">
        <v>0.22500000000000001</v>
      </c>
      <c r="D21">
        <f t="shared" si="3"/>
        <v>2.25</v>
      </c>
      <c r="E21">
        <f t="shared" si="3"/>
        <v>2.25</v>
      </c>
      <c r="F21">
        <f t="shared" si="3"/>
        <v>2.25</v>
      </c>
      <c r="G21">
        <f t="shared" si="3"/>
        <v>2.25</v>
      </c>
      <c r="H21">
        <f t="shared" si="3"/>
        <v>2.25</v>
      </c>
      <c r="I21">
        <f t="shared" si="3"/>
        <v>2.25</v>
      </c>
      <c r="J21">
        <f t="shared" si="3"/>
        <v>2.25</v>
      </c>
      <c r="K21">
        <f t="shared" si="3"/>
        <v>2.25</v>
      </c>
      <c r="L21">
        <f t="shared" si="3"/>
        <v>2.25</v>
      </c>
      <c r="M21">
        <f t="shared" si="4"/>
        <v>102.25</v>
      </c>
      <c r="P21">
        <f t="shared" si="5"/>
        <v>0.22500000000000001</v>
      </c>
      <c r="Q21">
        <f t="shared" si="6"/>
        <v>0.45</v>
      </c>
      <c r="R21">
        <f t="shared" si="7"/>
        <v>98.100191365383168</v>
      </c>
      <c r="S21">
        <f t="shared" si="8"/>
        <v>1.0125</v>
      </c>
      <c r="T21">
        <f t="shared" si="1"/>
        <v>99.112691365383171</v>
      </c>
      <c r="U21">
        <f t="shared" si="9"/>
        <v>0.98664322977441832</v>
      </c>
      <c r="V21">
        <f t="shared" si="9"/>
        <v>0.96281359333927141</v>
      </c>
      <c r="W21">
        <f t="shared" si="9"/>
        <v>0.93955949581778131</v>
      </c>
      <c r="X21">
        <f t="shared" si="9"/>
        <v>0.91686703666043545</v>
      </c>
      <c r="Y21">
        <f t="shared" si="9"/>
        <v>0.89472265104702164</v>
      </c>
      <c r="Z21">
        <f t="shared" si="9"/>
        <v>0.87311310177801571</v>
      </c>
      <c r="AA21">
        <f t="shared" si="9"/>
        <v>0.85202547136181084</v>
      </c>
      <c r="AB21">
        <f t="shared" si="9"/>
        <v>0.8314471542930576</v>
      </c>
      <c r="AC21">
        <f t="shared" si="9"/>
        <v>0.81136584951749935</v>
      </c>
      <c r="AD21">
        <f t="shared" si="9"/>
        <v>0.79176955307879915</v>
      </c>
    </row>
    <row r="22" spans="2:30">
      <c r="B22">
        <v>0.23749999999999999</v>
      </c>
      <c r="D22">
        <f t="shared" si="3"/>
        <v>2.25</v>
      </c>
      <c r="E22">
        <f t="shared" si="3"/>
        <v>2.25</v>
      </c>
      <c r="F22">
        <f t="shared" si="3"/>
        <v>2.25</v>
      </c>
      <c r="G22">
        <f t="shared" si="3"/>
        <v>2.25</v>
      </c>
      <c r="H22">
        <f t="shared" si="3"/>
        <v>2.25</v>
      </c>
      <c r="I22">
        <f t="shared" si="3"/>
        <v>2.25</v>
      </c>
      <c r="J22">
        <f t="shared" si="3"/>
        <v>2.25</v>
      </c>
      <c r="K22">
        <f t="shared" si="3"/>
        <v>2.25</v>
      </c>
      <c r="L22">
        <f t="shared" si="3"/>
        <v>2.25</v>
      </c>
      <c r="M22">
        <f t="shared" si="4"/>
        <v>102.25</v>
      </c>
      <c r="P22">
        <f t="shared" si="5"/>
        <v>0.23749999999999999</v>
      </c>
      <c r="Q22">
        <f t="shared" si="6"/>
        <v>0.47499999999999998</v>
      </c>
      <c r="R22">
        <f t="shared" si="7"/>
        <v>98.104539245599327</v>
      </c>
      <c r="S22">
        <f t="shared" si="8"/>
        <v>1.0687499999999999</v>
      </c>
      <c r="T22">
        <f t="shared" si="1"/>
        <v>99.173289245599321</v>
      </c>
      <c r="U22">
        <f t="shared" si="9"/>
        <v>0.98724646723503318</v>
      </c>
      <c r="V22">
        <f t="shared" si="9"/>
        <v>0.96340226126863449</v>
      </c>
      <c r="W22">
        <f t="shared" si="9"/>
        <v>0.94013394610259526</v>
      </c>
      <c r="X22">
        <f t="shared" si="9"/>
        <v>0.91742761268855355</v>
      </c>
      <c r="Y22">
        <f t="shared" si="9"/>
        <v>0.89526968791271377</v>
      </c>
      <c r="Z22">
        <f t="shared" si="9"/>
        <v>0.87364692648227726</v>
      </c>
      <c r="AA22">
        <f t="shared" si="9"/>
        <v>0.85254640300783335</v>
      </c>
      <c r="AB22">
        <f t="shared" si="9"/>
        <v>0.83195550427697817</v>
      </c>
      <c r="AC22">
        <f t="shared" si="9"/>
        <v>0.81186192171454319</v>
      </c>
      <c r="AD22">
        <f t="shared" si="9"/>
        <v>0.79225364402492626</v>
      </c>
    </row>
    <row r="23" spans="2:30">
      <c r="B23">
        <v>0.25</v>
      </c>
      <c r="D23">
        <f t="shared" si="3"/>
        <v>2.25</v>
      </c>
      <c r="E23">
        <f t="shared" si="3"/>
        <v>2.25</v>
      </c>
      <c r="F23">
        <f t="shared" si="3"/>
        <v>2.25</v>
      </c>
      <c r="G23">
        <f t="shared" si="3"/>
        <v>2.25</v>
      </c>
      <c r="H23">
        <f t="shared" si="3"/>
        <v>2.25</v>
      </c>
      <c r="I23">
        <f t="shared" si="3"/>
        <v>2.25</v>
      </c>
      <c r="J23">
        <f t="shared" si="3"/>
        <v>2.25</v>
      </c>
      <c r="K23">
        <f t="shared" si="3"/>
        <v>2.25</v>
      </c>
      <c r="L23">
        <f t="shared" si="3"/>
        <v>2.25</v>
      </c>
      <c r="M23">
        <f t="shared" si="4"/>
        <v>102.25</v>
      </c>
      <c r="P23">
        <f t="shared" si="5"/>
        <v>0.25</v>
      </c>
      <c r="Q23">
        <f t="shared" si="6"/>
        <v>0.5</v>
      </c>
      <c r="R23">
        <f t="shared" si="7"/>
        <v>98.108924175592207</v>
      </c>
      <c r="S23">
        <f t="shared" si="8"/>
        <v>1.125</v>
      </c>
      <c r="T23">
        <f t="shared" si="1"/>
        <v>99.233924175592207</v>
      </c>
      <c r="U23">
        <f t="shared" si="9"/>
        <v>0.98785007351734877</v>
      </c>
      <c r="V23">
        <f t="shared" si="9"/>
        <v>0.96399128911183096</v>
      </c>
      <c r="W23">
        <f t="shared" si="9"/>
        <v>0.94070874760851986</v>
      </c>
      <c r="X23">
        <f t="shared" si="9"/>
        <v>0.91798853145500836</v>
      </c>
      <c r="Y23">
        <f t="shared" si="9"/>
        <v>0.89581705923884691</v>
      </c>
      <c r="Z23">
        <f t="shared" si="9"/>
        <v>0.87418107756901375</v>
      </c>
      <c r="AA23">
        <f t="shared" si="9"/>
        <v>0.85306765315346555</v>
      </c>
      <c r="AB23">
        <f t="shared" si="9"/>
        <v>0.83246416506803156</v>
      </c>
      <c r="AC23">
        <f t="shared" si="9"/>
        <v>0.81235829721203379</v>
      </c>
      <c r="AD23">
        <f t="shared" si="9"/>
        <v>0.79273803094611728</v>
      </c>
    </row>
    <row r="24" spans="2:30">
      <c r="B24">
        <v>0.26250000000000001</v>
      </c>
      <c r="D24">
        <f t="shared" si="3"/>
        <v>2.25</v>
      </c>
      <c r="E24">
        <f t="shared" si="3"/>
        <v>2.25</v>
      </c>
      <c r="F24">
        <f t="shared" si="3"/>
        <v>2.25</v>
      </c>
      <c r="G24">
        <f t="shared" si="3"/>
        <v>2.25</v>
      </c>
      <c r="H24">
        <f t="shared" si="3"/>
        <v>2.25</v>
      </c>
      <c r="I24">
        <f t="shared" si="3"/>
        <v>2.25</v>
      </c>
      <c r="J24">
        <f t="shared" si="3"/>
        <v>2.25</v>
      </c>
      <c r="K24">
        <f t="shared" si="3"/>
        <v>2.25</v>
      </c>
      <c r="L24">
        <f t="shared" si="3"/>
        <v>2.25</v>
      </c>
      <c r="M24">
        <f t="shared" si="4"/>
        <v>102.25</v>
      </c>
      <c r="P24">
        <f t="shared" si="5"/>
        <v>0.26250000000000001</v>
      </c>
      <c r="Q24">
        <f t="shared" si="6"/>
        <v>0.52500000000000002</v>
      </c>
      <c r="R24">
        <f t="shared" si="7"/>
        <v>98.113346178014211</v>
      </c>
      <c r="S24">
        <f t="shared" si="8"/>
        <v>1.1812500000000001</v>
      </c>
      <c r="T24">
        <f t="shared" si="1"/>
        <v>99.294596178014217</v>
      </c>
      <c r="U24">
        <f t="shared" si="9"/>
        <v>0.98845404884686383</v>
      </c>
      <c r="V24">
        <f t="shared" si="9"/>
        <v>0.96458067708891304</v>
      </c>
      <c r="W24">
        <f t="shared" si="9"/>
        <v>0.94128390055029321</v>
      </c>
      <c r="X24">
        <f t="shared" si="9"/>
        <v>0.91854979316935181</v>
      </c>
      <c r="Y24">
        <f t="shared" si="9"/>
        <v>0.89636476522991149</v>
      </c>
      <c r="Z24">
        <f t="shared" si="9"/>
        <v>0.87471555523777633</v>
      </c>
      <c r="AA24">
        <f t="shared" si="9"/>
        <v>0.85358922199343878</v>
      </c>
      <c r="AB24">
        <f t="shared" si="9"/>
        <v>0.83297313685624663</v>
      </c>
      <c r="AC24">
        <f t="shared" si="9"/>
        <v>0.81285497619541025</v>
      </c>
      <c r="AD24">
        <f t="shared" si="9"/>
        <v>0.79322271402333266</v>
      </c>
    </row>
    <row r="25" spans="2:30">
      <c r="B25">
        <v>0.27500000000000002</v>
      </c>
      <c r="D25">
        <f t="shared" si="3"/>
        <v>2.25</v>
      </c>
      <c r="E25">
        <f t="shared" si="3"/>
        <v>2.25</v>
      </c>
      <c r="F25">
        <f t="shared" si="3"/>
        <v>2.25</v>
      </c>
      <c r="G25">
        <f t="shared" si="3"/>
        <v>2.25</v>
      </c>
      <c r="H25">
        <f t="shared" si="3"/>
        <v>2.25</v>
      </c>
      <c r="I25">
        <f t="shared" si="3"/>
        <v>2.25</v>
      </c>
      <c r="J25">
        <f t="shared" si="3"/>
        <v>2.25</v>
      </c>
      <c r="K25">
        <f t="shared" si="3"/>
        <v>2.25</v>
      </c>
      <c r="L25">
        <f t="shared" si="3"/>
        <v>2.25</v>
      </c>
      <c r="M25">
        <f t="shared" si="4"/>
        <v>102.25</v>
      </c>
      <c r="N25" s="4"/>
      <c r="P25">
        <f t="shared" si="5"/>
        <v>0.27500000000000002</v>
      </c>
      <c r="Q25">
        <f t="shared" si="6"/>
        <v>0.55000000000000004</v>
      </c>
      <c r="R25">
        <f t="shared" si="7"/>
        <v>98.11780527553158</v>
      </c>
      <c r="S25">
        <f t="shared" si="8"/>
        <v>1.2375</v>
      </c>
      <c r="T25">
        <f t="shared" si="1"/>
        <v>99.355305275531578</v>
      </c>
      <c r="U25">
        <f t="shared" si="9"/>
        <v>0.98905839344921531</v>
      </c>
      <c r="V25">
        <f t="shared" si="9"/>
        <v>0.96517042542006859</v>
      </c>
      <c r="W25">
        <f t="shared" si="9"/>
        <v>0.94185940514278454</v>
      </c>
      <c r="X25">
        <f t="shared" si="9"/>
        <v>0.91911139804126329</v>
      </c>
      <c r="Y25">
        <f t="shared" si="9"/>
        <v>0.89691280609052282</v>
      </c>
      <c r="Z25">
        <f t="shared" si="9"/>
        <v>0.87525035968823883</v>
      </c>
      <c r="AA25">
        <f t="shared" si="9"/>
        <v>0.8541111097226044</v>
      </c>
      <c r="AB25">
        <f t="shared" si="9"/>
        <v>0.83348241983176796</v>
      </c>
      <c r="AC25">
        <f t="shared" si="9"/>
        <v>0.81335195885022482</v>
      </c>
      <c r="AD25">
        <f t="shared" si="9"/>
        <v>0.79370769343764325</v>
      </c>
    </row>
    <row r="26" spans="2:30">
      <c r="B26">
        <v>0.28749999999999998</v>
      </c>
      <c r="D26">
        <f t="shared" si="3"/>
        <v>2.25</v>
      </c>
      <c r="E26">
        <f t="shared" si="3"/>
        <v>2.25</v>
      </c>
      <c r="F26">
        <f t="shared" si="3"/>
        <v>2.25</v>
      </c>
      <c r="G26">
        <f t="shared" si="3"/>
        <v>2.25</v>
      </c>
      <c r="H26">
        <f t="shared" si="3"/>
        <v>2.25</v>
      </c>
      <c r="I26">
        <f t="shared" si="3"/>
        <v>2.25</v>
      </c>
      <c r="J26">
        <f t="shared" si="3"/>
        <v>2.25</v>
      </c>
      <c r="K26">
        <f t="shared" si="3"/>
        <v>2.25</v>
      </c>
      <c r="L26">
        <f t="shared" si="3"/>
        <v>2.25</v>
      </c>
      <c r="M26">
        <f t="shared" si="4"/>
        <v>102.25</v>
      </c>
      <c r="P26">
        <f t="shared" si="5"/>
        <v>0.28749999999999998</v>
      </c>
      <c r="Q26">
        <f t="shared" si="6"/>
        <v>0.57499999999999996</v>
      </c>
      <c r="R26">
        <f t="shared" si="7"/>
        <v>98.122301490824327</v>
      </c>
      <c r="S26">
        <f t="shared" si="8"/>
        <v>1.29375</v>
      </c>
      <c r="T26">
        <f t="shared" si="1"/>
        <v>99.41605149082433</v>
      </c>
      <c r="U26">
        <f t="shared" si="9"/>
        <v>0.98966310755017817</v>
      </c>
      <c r="V26">
        <f t="shared" si="9"/>
        <v>0.96576053432561904</v>
      </c>
      <c r="W26">
        <f t="shared" si="9"/>
        <v>0.94243526160099433</v>
      </c>
      <c r="X26">
        <f t="shared" si="9"/>
        <v>0.91967334628055075</v>
      </c>
      <c r="Y26">
        <f t="shared" si="9"/>
        <v>0.89746118202542147</v>
      </c>
      <c r="Z26">
        <f t="shared" si="9"/>
        <v>0.87578549112019655</v>
      </c>
      <c r="AA26">
        <f t="shared" si="9"/>
        <v>0.85463331653593222</v>
      </c>
      <c r="AB26">
        <f t="shared" si="9"/>
        <v>0.83399201418485691</v>
      </c>
      <c r="AC26">
        <f t="shared" si="9"/>
        <v>0.81384924536214376</v>
      </c>
      <c r="AD26">
        <f t="shared" si="9"/>
        <v>0.79419296937023054</v>
      </c>
    </row>
    <row r="27" spans="2:30">
      <c r="B27">
        <v>0.3</v>
      </c>
      <c r="D27">
        <f t="shared" si="3"/>
        <v>2.25</v>
      </c>
      <c r="E27">
        <f t="shared" si="3"/>
        <v>2.25</v>
      </c>
      <c r="F27">
        <f t="shared" si="3"/>
        <v>2.25</v>
      </c>
      <c r="G27">
        <f t="shared" si="3"/>
        <v>2.25</v>
      </c>
      <c r="H27">
        <f t="shared" si="3"/>
        <v>2.25</v>
      </c>
      <c r="I27">
        <f t="shared" si="3"/>
        <v>2.25</v>
      </c>
      <c r="J27">
        <f t="shared" si="3"/>
        <v>2.25</v>
      </c>
      <c r="K27">
        <f t="shared" si="3"/>
        <v>2.25</v>
      </c>
      <c r="L27">
        <f t="shared" si="3"/>
        <v>2.25</v>
      </c>
      <c r="M27">
        <f t="shared" si="4"/>
        <v>102.25</v>
      </c>
      <c r="P27">
        <f t="shared" si="5"/>
        <v>0.3</v>
      </c>
      <c r="Q27">
        <f t="shared" si="6"/>
        <v>0.6</v>
      </c>
      <c r="R27">
        <f t="shared" si="7"/>
        <v>98.126834846586462</v>
      </c>
      <c r="S27">
        <f t="shared" si="8"/>
        <v>1.3499999999999999</v>
      </c>
      <c r="T27">
        <f t="shared" si="1"/>
        <v>99.476834846586456</v>
      </c>
      <c r="U27">
        <f t="shared" si="9"/>
        <v>0.99026819137566513</v>
      </c>
      <c r="V27">
        <f t="shared" si="9"/>
        <v>0.96635100402602103</v>
      </c>
      <c r="W27">
        <f t="shared" si="9"/>
        <v>0.94301147014005482</v>
      </c>
      <c r="X27">
        <f t="shared" si="9"/>
        <v>0.92023563809715014</v>
      </c>
      <c r="Y27">
        <f t="shared" si="9"/>
        <v>0.89800989323947311</v>
      </c>
      <c r="Z27">
        <f t="shared" si="9"/>
        <v>0.87632094973356733</v>
      </c>
      <c r="AA27">
        <f t="shared" si="9"/>
        <v>0.85515584262851163</v>
      </c>
      <c r="AB27">
        <f t="shared" si="9"/>
        <v>0.83450192010589075</v>
      </c>
      <c r="AC27">
        <f t="shared" si="9"/>
        <v>0.81434683591694634</v>
      </c>
      <c r="AD27">
        <f t="shared" si="9"/>
        <v>0.79467854200238719</v>
      </c>
    </row>
    <row r="28" spans="2:30">
      <c r="B28">
        <v>0.3125</v>
      </c>
      <c r="D28">
        <f t="shared" si="3"/>
        <v>2.25</v>
      </c>
      <c r="E28">
        <f t="shared" si="3"/>
        <v>2.25</v>
      </c>
      <c r="F28">
        <f t="shared" si="3"/>
        <v>2.25</v>
      </c>
      <c r="G28">
        <f t="shared" si="3"/>
        <v>2.25</v>
      </c>
      <c r="H28">
        <f t="shared" si="3"/>
        <v>2.25</v>
      </c>
      <c r="I28">
        <f t="shared" si="3"/>
        <v>2.25</v>
      </c>
      <c r="J28">
        <f t="shared" si="3"/>
        <v>2.25</v>
      </c>
      <c r="K28">
        <f t="shared" si="3"/>
        <v>2.25</v>
      </c>
      <c r="L28">
        <f t="shared" si="3"/>
        <v>2.25</v>
      </c>
      <c r="M28">
        <f t="shared" si="4"/>
        <v>102.25</v>
      </c>
      <c r="P28">
        <f t="shared" si="5"/>
        <v>0.3125</v>
      </c>
      <c r="Q28">
        <f t="shared" si="6"/>
        <v>0.625</v>
      </c>
      <c r="R28">
        <f t="shared" si="7"/>
        <v>98.131405365525808</v>
      </c>
      <c r="S28">
        <f t="shared" si="8"/>
        <v>1.40625</v>
      </c>
      <c r="T28">
        <f t="shared" si="1"/>
        <v>99.537655365525808</v>
      </c>
      <c r="U28">
        <f t="shared" si="9"/>
        <v>0.99087364515172727</v>
      </c>
      <c r="V28">
        <f t="shared" si="9"/>
        <v>0.96694183474186624</v>
      </c>
      <c r="W28">
        <f t="shared" si="9"/>
        <v>0.94358803097522914</v>
      </c>
      <c r="X28">
        <f t="shared" si="9"/>
        <v>0.92079827370112621</v>
      </c>
      <c r="Y28">
        <f t="shared" si="9"/>
        <v>0.89855893993766889</v>
      </c>
      <c r="Z28">
        <f t="shared" si="9"/>
        <v>0.87685673572839107</v>
      </c>
      <c r="AA28">
        <f t="shared" si="9"/>
        <v>0.85567868819555115</v>
      </c>
      <c r="AB28">
        <f t="shared" si="9"/>
        <v>0.83501213778536343</v>
      </c>
      <c r="AC28">
        <f t="shared" si="9"/>
        <v>0.81484473070052532</v>
      </c>
      <c r="AD28">
        <f t="shared" si="9"/>
        <v>0.79516441151551631</v>
      </c>
    </row>
    <row r="29" spans="2:30">
      <c r="B29">
        <v>0.32500000000000001</v>
      </c>
      <c r="D29">
        <f t="shared" si="3"/>
        <v>2.25</v>
      </c>
      <c r="E29">
        <f t="shared" si="3"/>
        <v>2.25</v>
      </c>
      <c r="F29">
        <f t="shared" si="3"/>
        <v>2.25</v>
      </c>
      <c r="G29">
        <f t="shared" si="3"/>
        <v>2.25</v>
      </c>
      <c r="H29">
        <f t="shared" si="3"/>
        <v>2.25</v>
      </c>
      <c r="I29">
        <f t="shared" si="3"/>
        <v>2.25</v>
      </c>
      <c r="J29">
        <f t="shared" si="3"/>
        <v>2.25</v>
      </c>
      <c r="K29">
        <f t="shared" si="3"/>
        <v>2.25</v>
      </c>
      <c r="L29">
        <f t="shared" si="3"/>
        <v>2.25</v>
      </c>
      <c r="M29">
        <f t="shared" si="4"/>
        <v>102.25</v>
      </c>
      <c r="P29">
        <f t="shared" si="5"/>
        <v>0.32500000000000001</v>
      </c>
      <c r="Q29">
        <f t="shared" si="6"/>
        <v>0.65</v>
      </c>
      <c r="R29">
        <f t="shared" si="7"/>
        <v>98.136013070364044</v>
      </c>
      <c r="S29">
        <f t="shared" si="8"/>
        <v>1.4625000000000001</v>
      </c>
      <c r="T29">
        <f t="shared" si="1"/>
        <v>99.598513070364049</v>
      </c>
      <c r="U29">
        <f t="shared" si="9"/>
        <v>0.99147946910455398</v>
      </c>
      <c r="V29">
        <f t="shared" si="9"/>
        <v>0.96753302669388042</v>
      </c>
      <c r="W29">
        <f t="shared" si="9"/>
        <v>0.94416494432191289</v>
      </c>
      <c r="X29">
        <f t="shared" si="9"/>
        <v>0.92136125330267171</v>
      </c>
      <c r="Y29">
        <f t="shared" si="9"/>
        <v>0.89910832232512494</v>
      </c>
      <c r="Z29">
        <f t="shared" si="9"/>
        <v>0.8773928493048303</v>
      </c>
      <c r="AA29">
        <f t="shared" si="9"/>
        <v>0.85620185343237887</v>
      </c>
      <c r="AB29">
        <f t="shared" si="9"/>
        <v>0.83552266741388515</v>
      </c>
      <c r="AC29">
        <f t="shared" si="9"/>
        <v>0.81534292989888768</v>
      </c>
      <c r="AD29">
        <f t="shared" si="9"/>
        <v>0.79565057809113215</v>
      </c>
    </row>
    <row r="30" spans="2:30">
      <c r="B30">
        <v>0.33750000000000002</v>
      </c>
      <c r="D30">
        <f t="shared" si="3"/>
        <v>2.25</v>
      </c>
      <c r="E30">
        <f t="shared" si="3"/>
        <v>2.25</v>
      </c>
      <c r="F30">
        <f t="shared" si="3"/>
        <v>2.25</v>
      </c>
      <c r="G30">
        <f t="shared" si="3"/>
        <v>2.25</v>
      </c>
      <c r="H30">
        <f t="shared" si="3"/>
        <v>2.25</v>
      </c>
      <c r="I30">
        <f t="shared" si="3"/>
        <v>2.25</v>
      </c>
      <c r="J30">
        <f t="shared" si="3"/>
        <v>2.25</v>
      </c>
      <c r="K30">
        <f t="shared" si="3"/>
        <v>2.25</v>
      </c>
      <c r="L30">
        <f t="shared" si="3"/>
        <v>2.25</v>
      </c>
      <c r="M30">
        <f t="shared" si="4"/>
        <v>102.25</v>
      </c>
      <c r="P30">
        <f t="shared" si="5"/>
        <v>0.33750000000000002</v>
      </c>
      <c r="Q30">
        <f t="shared" si="6"/>
        <v>0.67500000000000004</v>
      </c>
      <c r="R30">
        <f t="shared" si="7"/>
        <v>98.140657983836789</v>
      </c>
      <c r="S30">
        <f t="shared" si="8"/>
        <v>1.51875</v>
      </c>
      <c r="T30">
        <f t="shared" si="1"/>
        <v>99.659407983836786</v>
      </c>
      <c r="U30">
        <f t="shared" si="9"/>
        <v>0.99208566346047244</v>
      </c>
      <c r="V30">
        <f t="shared" si="9"/>
        <v>0.9681245801029249</v>
      </c>
      <c r="W30">
        <f t="shared" si="9"/>
        <v>0.94474221039563289</v>
      </c>
      <c r="X30">
        <f t="shared" si="9"/>
        <v>0.92192457711210829</v>
      </c>
      <c r="Y30">
        <f t="shared" si="9"/>
        <v>0.89965804060708299</v>
      </c>
      <c r="Z30">
        <f t="shared" si="9"/>
        <v>0.87792929066316927</v>
      </c>
      <c r="AA30">
        <f t="shared" si="9"/>
        <v>0.85672533853444188</v>
      </c>
      <c r="AB30">
        <f t="shared" si="9"/>
        <v>0.83603350918218289</v>
      </c>
      <c r="AC30">
        <f t="shared" si="9"/>
        <v>0.81584143369815354</v>
      </c>
      <c r="AD30">
        <f t="shared" si="9"/>
        <v>0.79613704191085977</v>
      </c>
    </row>
    <row r="31" spans="2:30">
      <c r="B31">
        <v>0.35</v>
      </c>
      <c r="D31">
        <f t="shared" si="3"/>
        <v>2.25</v>
      </c>
      <c r="E31">
        <f t="shared" si="3"/>
        <v>2.25</v>
      </c>
      <c r="F31">
        <f t="shared" si="3"/>
        <v>2.25</v>
      </c>
      <c r="G31">
        <f t="shared" si="3"/>
        <v>2.25</v>
      </c>
      <c r="H31">
        <f t="shared" si="3"/>
        <v>2.25</v>
      </c>
      <c r="I31">
        <f t="shared" si="3"/>
        <v>2.25</v>
      </c>
      <c r="J31">
        <f t="shared" si="3"/>
        <v>2.25</v>
      </c>
      <c r="K31">
        <f t="shared" si="3"/>
        <v>2.25</v>
      </c>
      <c r="L31">
        <f t="shared" si="3"/>
        <v>2.25</v>
      </c>
      <c r="M31">
        <f t="shared" si="4"/>
        <v>102.25</v>
      </c>
      <c r="P31">
        <f t="shared" si="5"/>
        <v>0.35</v>
      </c>
      <c r="Q31">
        <f t="shared" si="6"/>
        <v>0.7</v>
      </c>
      <c r="R31">
        <f t="shared" si="7"/>
        <v>98.145340128693533</v>
      </c>
      <c r="S31">
        <f t="shared" si="8"/>
        <v>1.575</v>
      </c>
      <c r="T31">
        <f t="shared" si="1"/>
        <v>99.720340128693536</v>
      </c>
      <c r="U31">
        <f t="shared" si="9"/>
        <v>0.99269222844594862</v>
      </c>
      <c r="V31">
        <f t="shared" si="9"/>
        <v>0.96871649518999625</v>
      </c>
      <c r="W31">
        <f t="shared" si="9"/>
        <v>0.94531982941204795</v>
      </c>
      <c r="X31">
        <f t="shared" si="9"/>
        <v>0.9224882453398856</v>
      </c>
      <c r="Y31">
        <f t="shared" si="9"/>
        <v>0.90020809498891008</v>
      </c>
      <c r="Z31">
        <f t="shared" si="9"/>
        <v>0.87846606000381566</v>
      </c>
      <c r="AA31">
        <f t="shared" si="9"/>
        <v>0.8572491436973072</v>
      </c>
      <c r="AB31">
        <f t="shared" si="9"/>
        <v>0.83654466328109989</v>
      </c>
      <c r="AC31">
        <f t="shared" si="9"/>
        <v>0.81634024228455715</v>
      </c>
      <c r="AD31">
        <f t="shared" si="9"/>
        <v>0.79662380315643533</v>
      </c>
    </row>
    <row r="32" spans="2:30">
      <c r="B32">
        <v>0.36249999999999999</v>
      </c>
      <c r="D32">
        <f t="shared" si="3"/>
        <v>2.25</v>
      </c>
      <c r="E32">
        <f t="shared" si="3"/>
        <v>2.25</v>
      </c>
      <c r="F32">
        <f t="shared" si="3"/>
        <v>2.25</v>
      </c>
      <c r="G32">
        <f t="shared" si="3"/>
        <v>2.25</v>
      </c>
      <c r="H32">
        <f t="shared" si="3"/>
        <v>2.25</v>
      </c>
      <c r="I32">
        <f t="shared" si="3"/>
        <v>2.25</v>
      </c>
      <c r="J32">
        <f t="shared" si="3"/>
        <v>2.25</v>
      </c>
      <c r="K32">
        <f t="shared" si="3"/>
        <v>2.25</v>
      </c>
      <c r="L32">
        <f t="shared" si="3"/>
        <v>2.25</v>
      </c>
      <c r="M32">
        <f t="shared" si="4"/>
        <v>102.25</v>
      </c>
      <c r="P32">
        <f t="shared" si="5"/>
        <v>0.36249999999999999</v>
      </c>
      <c r="Q32">
        <f t="shared" si="6"/>
        <v>0.72499999999999998</v>
      </c>
      <c r="R32">
        <f t="shared" si="7"/>
        <v>98.150059527697707</v>
      </c>
      <c r="S32">
        <f t="shared" si="8"/>
        <v>1.6312499999999999</v>
      </c>
      <c r="T32">
        <f t="shared" si="1"/>
        <v>99.781309527697701</v>
      </c>
      <c r="U32">
        <f t="shared" si="9"/>
        <v>0.9932991642875868</v>
      </c>
      <c r="V32">
        <f t="shared" si="9"/>
        <v>0.96930877217622513</v>
      </c>
      <c r="W32">
        <f t="shared" si="9"/>
        <v>0.94589780158694814</v>
      </c>
      <c r="X32">
        <f t="shared" si="9"/>
        <v>0.92305225819658276</v>
      </c>
      <c r="Y32">
        <f t="shared" si="9"/>
        <v>0.90075848567609917</v>
      </c>
      <c r="Z32">
        <f t="shared" si="9"/>
        <v>0.87900315752729852</v>
      </c>
      <c r="AA32">
        <f t="shared" si="9"/>
        <v>0.85777326911666107</v>
      </c>
      <c r="AB32">
        <f t="shared" si="9"/>
        <v>0.8370561299015965</v>
      </c>
      <c r="AC32">
        <f t="shared" si="9"/>
        <v>0.81683935584444645</v>
      </c>
      <c r="AD32">
        <f t="shared" si="9"/>
        <v>0.79711086200970616</v>
      </c>
    </row>
    <row r="33" spans="2:30">
      <c r="B33">
        <v>0.375</v>
      </c>
      <c r="D33">
        <f t="shared" si="3"/>
        <v>2.25</v>
      </c>
      <c r="E33">
        <f t="shared" si="3"/>
        <v>2.25</v>
      </c>
      <c r="F33">
        <f t="shared" si="3"/>
        <v>2.25</v>
      </c>
      <c r="G33">
        <f t="shared" si="3"/>
        <v>2.25</v>
      </c>
      <c r="H33">
        <f t="shared" si="3"/>
        <v>2.25</v>
      </c>
      <c r="I33">
        <f t="shared" si="3"/>
        <v>2.25</v>
      </c>
      <c r="J33">
        <f t="shared" si="3"/>
        <v>2.25</v>
      </c>
      <c r="K33">
        <f t="shared" si="3"/>
        <v>2.25</v>
      </c>
      <c r="L33">
        <f t="shared" si="3"/>
        <v>2.25</v>
      </c>
      <c r="M33">
        <f t="shared" si="4"/>
        <v>102.25</v>
      </c>
      <c r="P33">
        <f t="shared" si="5"/>
        <v>0.375</v>
      </c>
      <c r="Q33">
        <f t="shared" si="6"/>
        <v>0.75</v>
      </c>
      <c r="R33">
        <f t="shared" si="7"/>
        <v>98.154816203626638</v>
      </c>
      <c r="S33">
        <f t="shared" si="8"/>
        <v>1.6875</v>
      </c>
      <c r="T33">
        <f t="shared" si="1"/>
        <v>99.842316203626638</v>
      </c>
      <c r="U33">
        <f t="shared" si="9"/>
        <v>0.99390647121212994</v>
      </c>
      <c r="V33">
        <f t="shared" si="9"/>
        <v>0.96990141128287866</v>
      </c>
      <c r="W33">
        <f t="shared" si="9"/>
        <v>0.94647612713625628</v>
      </c>
      <c r="X33">
        <f t="shared" si="9"/>
        <v>0.92361661589290689</v>
      </c>
      <c r="Y33">
        <f t="shared" si="9"/>
        <v>0.90130921287426868</v>
      </c>
      <c r="Z33">
        <f t="shared" si="9"/>
        <v>0.87954058343427033</v>
      </c>
      <c r="AA33">
        <f t="shared" si="9"/>
        <v>0.85829771498830976</v>
      </c>
      <c r="AB33">
        <f t="shared" si="9"/>
        <v>0.83756790923474955</v>
      </c>
      <c r="AC33">
        <f t="shared" si="9"/>
        <v>0.8173387745642835</v>
      </c>
      <c r="AD33">
        <f t="shared" si="9"/>
        <v>0.79759821865263092</v>
      </c>
    </row>
    <row r="34" spans="2:30">
      <c r="B34">
        <v>0.38750000000000001</v>
      </c>
      <c r="D34">
        <f t="shared" si="3"/>
        <v>2.25</v>
      </c>
      <c r="E34">
        <f t="shared" si="3"/>
        <v>2.25</v>
      </c>
      <c r="F34">
        <f t="shared" si="3"/>
        <v>2.25</v>
      </c>
      <c r="G34">
        <f t="shared" si="3"/>
        <v>2.25</v>
      </c>
      <c r="H34">
        <f t="shared" si="3"/>
        <v>2.25</v>
      </c>
      <c r="I34">
        <f t="shared" si="3"/>
        <v>2.25</v>
      </c>
      <c r="J34">
        <f t="shared" si="3"/>
        <v>2.25</v>
      </c>
      <c r="K34">
        <f t="shared" si="3"/>
        <v>2.25</v>
      </c>
      <c r="L34">
        <f t="shared" si="3"/>
        <v>2.25</v>
      </c>
      <c r="M34">
        <f t="shared" si="4"/>
        <v>102.25</v>
      </c>
      <c r="P34">
        <f t="shared" si="5"/>
        <v>0.38750000000000001</v>
      </c>
      <c r="Q34">
        <f t="shared" si="6"/>
        <v>0.77500000000000002</v>
      </c>
      <c r="R34">
        <f t="shared" si="7"/>
        <v>98.159610179271567</v>
      </c>
      <c r="S34">
        <f t="shared" si="8"/>
        <v>1.7437500000000001</v>
      </c>
      <c r="T34">
        <f t="shared" si="1"/>
        <v>99.903360179271573</v>
      </c>
      <c r="U34">
        <f t="shared" si="9"/>
        <v>0.99451414944645966</v>
      </c>
      <c r="V34">
        <f t="shared" si="9"/>
        <v>0.9704944127313585</v>
      </c>
      <c r="W34">
        <f t="shared" si="9"/>
        <v>0.94705480627602689</v>
      </c>
      <c r="X34">
        <f t="shared" si="9"/>
        <v>0.92418131863969444</v>
      </c>
      <c r="Y34">
        <f t="shared" si="9"/>
        <v>0.90186027678916258</v>
      </c>
      <c r="Z34">
        <f t="shared" si="9"/>
        <v>0.88007833792550627</v>
      </c>
      <c r="AA34">
        <f t="shared" si="9"/>
        <v>0.85882248150817875</v>
      </c>
      <c r="AB34">
        <f t="shared" si="9"/>
        <v>0.83808000147175288</v>
      </c>
      <c r="AC34">
        <f t="shared" si="9"/>
        <v>0.81783849863064439</v>
      </c>
      <c r="AD34">
        <f t="shared" si="9"/>
        <v>0.7980858732672792</v>
      </c>
    </row>
    <row r="35" spans="2:30">
      <c r="B35">
        <v>0.4</v>
      </c>
      <c r="D35">
        <f t="shared" si="3"/>
        <v>2.25</v>
      </c>
      <c r="E35">
        <f t="shared" si="3"/>
        <v>2.25</v>
      </c>
      <c r="F35">
        <f t="shared" si="3"/>
        <v>2.25</v>
      </c>
      <c r="G35">
        <f t="shared" si="3"/>
        <v>2.25</v>
      </c>
      <c r="H35">
        <f t="shared" si="3"/>
        <v>2.25</v>
      </c>
      <c r="I35">
        <f t="shared" si="3"/>
        <v>2.25</v>
      </c>
      <c r="J35">
        <f t="shared" si="3"/>
        <v>2.25</v>
      </c>
      <c r="K35">
        <f t="shared" si="3"/>
        <v>2.25</v>
      </c>
      <c r="L35">
        <f t="shared" si="3"/>
        <v>2.25</v>
      </c>
      <c r="M35">
        <f t="shared" si="4"/>
        <v>102.25</v>
      </c>
      <c r="P35">
        <f t="shared" si="5"/>
        <v>0.4</v>
      </c>
      <c r="Q35">
        <f t="shared" si="6"/>
        <v>0.8</v>
      </c>
      <c r="R35">
        <f t="shared" si="7"/>
        <v>98.164441477437677</v>
      </c>
      <c r="S35">
        <f t="shared" si="8"/>
        <v>1.8</v>
      </c>
      <c r="T35">
        <f t="shared" si="1"/>
        <v>99.964441477437674</v>
      </c>
      <c r="U35">
        <f t="shared" ref="U35:AD50" si="10">IF((1/(1+$O$3/2)^((U$2-$P35)*2))&lt;=1,1/(1+$O$3/2)^((U$2-$P35)*2),0)</f>
        <v>0.99512219921759615</v>
      </c>
      <c r="V35">
        <f t="shared" si="10"/>
        <v>0.9710877767432019</v>
      </c>
      <c r="W35">
        <f t="shared" si="10"/>
        <v>0.94763383922244637</v>
      </c>
      <c r="X35">
        <f t="shared" si="10"/>
        <v>0.92474636664791043</v>
      </c>
      <c r="Y35">
        <f t="shared" si="10"/>
        <v>0.90241167762665087</v>
      </c>
      <c r="Z35">
        <f t="shared" si="10"/>
        <v>0.88061642120190364</v>
      </c>
      <c r="AA35">
        <f t="shared" si="10"/>
        <v>0.85934756887231378</v>
      </c>
      <c r="AB35">
        <f t="shared" si="10"/>
        <v>0.83859240680391689</v>
      </c>
      <c r="AC35">
        <f t="shared" si="10"/>
        <v>0.81833852823021891</v>
      </c>
      <c r="AD35">
        <f t="shared" si="10"/>
        <v>0.79857382603583205</v>
      </c>
    </row>
    <row r="36" spans="2:30">
      <c r="B36">
        <v>0.41249999999999998</v>
      </c>
      <c r="D36">
        <f t="shared" si="3"/>
        <v>2.25</v>
      </c>
      <c r="E36">
        <f t="shared" si="3"/>
        <v>2.25</v>
      </c>
      <c r="F36">
        <f t="shared" si="3"/>
        <v>2.25</v>
      </c>
      <c r="G36">
        <f t="shared" si="3"/>
        <v>2.25</v>
      </c>
      <c r="H36">
        <f t="shared" si="3"/>
        <v>2.25</v>
      </c>
      <c r="I36">
        <f t="shared" si="3"/>
        <v>2.25</v>
      </c>
      <c r="J36">
        <f t="shared" si="3"/>
        <v>2.25</v>
      </c>
      <c r="K36">
        <f t="shared" si="3"/>
        <v>2.25</v>
      </c>
      <c r="L36">
        <f t="shared" si="3"/>
        <v>2.25</v>
      </c>
      <c r="M36">
        <f t="shared" si="4"/>
        <v>102.25</v>
      </c>
      <c r="P36">
        <f t="shared" si="5"/>
        <v>0.41249999999999998</v>
      </c>
      <c r="Q36">
        <f t="shared" si="6"/>
        <v>0.82499999999999996</v>
      </c>
      <c r="R36">
        <f t="shared" si="7"/>
        <v>98.169310120944132</v>
      </c>
      <c r="S36">
        <f t="shared" si="8"/>
        <v>1.85625</v>
      </c>
      <c r="T36">
        <f t="shared" si="1"/>
        <v>100.02556012094414</v>
      </c>
      <c r="U36">
        <f t="shared" si="10"/>
        <v>0.99573062075269825</v>
      </c>
      <c r="V36">
        <f t="shared" si="10"/>
        <v>0.97168150354008131</v>
      </c>
      <c r="W36">
        <f t="shared" si="10"/>
        <v>0.94821322619183335</v>
      </c>
      <c r="X36">
        <f t="shared" si="10"/>
        <v>0.92531176012864924</v>
      </c>
      <c r="Y36">
        <f t="shared" si="10"/>
        <v>0.90296341559272919</v>
      </c>
      <c r="Z36">
        <f t="shared" si="10"/>
        <v>0.88115483346448309</v>
      </c>
      <c r="AA36">
        <f t="shared" si="10"/>
        <v>0.85987297727688017</v>
      </c>
      <c r="AB36">
        <f t="shared" si="10"/>
        <v>0.83910512542266924</v>
      </c>
      <c r="AC36">
        <f t="shared" si="10"/>
        <v>0.81883886354981128</v>
      </c>
      <c r="AD36">
        <f t="shared" si="10"/>
        <v>0.79906207714058186</v>
      </c>
    </row>
    <row r="37" spans="2:30">
      <c r="B37">
        <v>0.42499999999999999</v>
      </c>
      <c r="D37">
        <f t="shared" si="3"/>
        <v>2.25</v>
      </c>
      <c r="E37">
        <f t="shared" si="3"/>
        <v>2.25</v>
      </c>
      <c r="F37">
        <f t="shared" si="3"/>
        <v>2.25</v>
      </c>
      <c r="G37">
        <f t="shared" si="3"/>
        <v>2.25</v>
      </c>
      <c r="H37">
        <f t="shared" si="3"/>
        <v>2.25</v>
      </c>
      <c r="I37">
        <f t="shared" si="3"/>
        <v>2.25</v>
      </c>
      <c r="J37">
        <f t="shared" si="3"/>
        <v>2.25</v>
      </c>
      <c r="K37">
        <f t="shared" si="3"/>
        <v>2.25</v>
      </c>
      <c r="L37">
        <f t="shared" si="3"/>
        <v>2.25</v>
      </c>
      <c r="M37">
        <f t="shared" si="4"/>
        <v>102.25</v>
      </c>
      <c r="P37">
        <f t="shared" si="5"/>
        <v>0.42499999999999999</v>
      </c>
      <c r="Q37">
        <f t="shared" si="6"/>
        <v>0.85</v>
      </c>
      <c r="R37">
        <f t="shared" si="7"/>
        <v>98.174216132623997</v>
      </c>
      <c r="S37">
        <f t="shared" si="8"/>
        <v>1.9124999999999999</v>
      </c>
      <c r="T37">
        <f t="shared" si="1"/>
        <v>100.08671613262399</v>
      </c>
      <c r="U37">
        <f t="shared" si="10"/>
        <v>0.99633941427906403</v>
      </c>
      <c r="V37">
        <f t="shared" si="10"/>
        <v>0.97227559334380487</v>
      </c>
      <c r="W37">
        <f t="shared" si="10"/>
        <v>0.94879296740063901</v>
      </c>
      <c r="X37">
        <f t="shared" si="10"/>
        <v>0.9258774992931339</v>
      </c>
      <c r="Y37">
        <f t="shared" si="10"/>
        <v>0.90351549089351935</v>
      </c>
      <c r="Z37">
        <f t="shared" si="10"/>
        <v>0.88169357491438816</v>
      </c>
      <c r="AA37">
        <f t="shared" si="10"/>
        <v>0.86039870691816356</v>
      </c>
      <c r="AB37">
        <f t="shared" si="10"/>
        <v>0.8396181575195546</v>
      </c>
      <c r="AC37">
        <f t="shared" si="10"/>
        <v>0.8193395047763401</v>
      </c>
      <c r="AD37">
        <f t="shared" si="10"/>
        <v>0.79955062676393274</v>
      </c>
    </row>
    <row r="38" spans="2:30">
      <c r="B38">
        <v>0.4375</v>
      </c>
      <c r="D38">
        <f t="shared" si="3"/>
        <v>2.25</v>
      </c>
      <c r="E38">
        <f t="shared" si="3"/>
        <v>2.25</v>
      </c>
      <c r="F38">
        <f t="shared" si="3"/>
        <v>2.25</v>
      </c>
      <c r="G38">
        <f t="shared" si="3"/>
        <v>2.25</v>
      </c>
      <c r="H38">
        <f t="shared" si="3"/>
        <v>2.25</v>
      </c>
      <c r="I38">
        <f t="shared" si="3"/>
        <v>2.25</v>
      </c>
      <c r="J38">
        <f t="shared" si="3"/>
        <v>2.25</v>
      </c>
      <c r="K38">
        <f t="shared" si="3"/>
        <v>2.25</v>
      </c>
      <c r="L38">
        <f t="shared" si="3"/>
        <v>2.25</v>
      </c>
      <c r="M38">
        <f t="shared" si="4"/>
        <v>102.25</v>
      </c>
      <c r="P38">
        <f t="shared" si="5"/>
        <v>0.4375</v>
      </c>
      <c r="Q38">
        <f t="shared" si="6"/>
        <v>0.875</v>
      </c>
      <c r="R38">
        <f t="shared" si="7"/>
        <v>98.179159535324288</v>
      </c>
      <c r="S38">
        <f t="shared" si="8"/>
        <v>1.96875</v>
      </c>
      <c r="T38">
        <f t="shared" si="1"/>
        <v>100.14790953532429</v>
      </c>
      <c r="U38">
        <f t="shared" si="10"/>
        <v>0.99694858002413034</v>
      </c>
      <c r="V38">
        <f t="shared" si="10"/>
        <v>0.97287004637631658</v>
      </c>
      <c r="W38">
        <f t="shared" si="10"/>
        <v>0.94937306306544678</v>
      </c>
      <c r="X38">
        <f t="shared" si="10"/>
        <v>0.9264435843527169</v>
      </c>
      <c r="Y38">
        <f t="shared" si="10"/>
        <v>0.90406790373526902</v>
      </c>
      <c r="Z38">
        <f t="shared" si="10"/>
        <v>0.88223264575288507</v>
      </c>
      <c r="AA38">
        <f t="shared" si="10"/>
        <v>0.86092475799256885</v>
      </c>
      <c r="AB38">
        <f t="shared" si="10"/>
        <v>0.84013150328623454</v>
      </c>
      <c r="AC38">
        <f t="shared" si="10"/>
        <v>0.81984045209683776</v>
      </c>
      <c r="AD38">
        <f t="shared" si="10"/>
        <v>0.80003947508839979</v>
      </c>
    </row>
    <row r="39" spans="2:30">
      <c r="B39">
        <v>0.45</v>
      </c>
      <c r="D39">
        <f t="shared" si="3"/>
        <v>2.25</v>
      </c>
      <c r="E39">
        <f t="shared" si="3"/>
        <v>2.25</v>
      </c>
      <c r="F39">
        <f t="shared" si="3"/>
        <v>2.25</v>
      </c>
      <c r="G39">
        <f t="shared" si="3"/>
        <v>2.25</v>
      </c>
      <c r="H39">
        <f t="shared" si="3"/>
        <v>2.25</v>
      </c>
      <c r="I39">
        <f t="shared" si="3"/>
        <v>2.25</v>
      </c>
      <c r="J39">
        <f t="shared" si="3"/>
        <v>2.25</v>
      </c>
      <c r="K39">
        <f t="shared" si="3"/>
        <v>2.25</v>
      </c>
      <c r="L39">
        <f t="shared" si="3"/>
        <v>2.25</v>
      </c>
      <c r="M39">
        <f t="shared" si="4"/>
        <v>102.25</v>
      </c>
      <c r="P39">
        <f t="shared" si="5"/>
        <v>0.45</v>
      </c>
      <c r="Q39">
        <f t="shared" si="6"/>
        <v>0.9</v>
      </c>
      <c r="R39">
        <f t="shared" si="7"/>
        <v>98.184140351906066</v>
      </c>
      <c r="S39">
        <f t="shared" si="8"/>
        <v>2.0249999999999999</v>
      </c>
      <c r="T39">
        <f t="shared" si="1"/>
        <v>100.20914035190607</v>
      </c>
      <c r="U39">
        <f t="shared" si="10"/>
        <v>0.99755811821547324</v>
      </c>
      <c r="V39">
        <f t="shared" si="10"/>
        <v>0.9734648628596958</v>
      </c>
      <c r="W39">
        <f t="shared" si="10"/>
        <v>0.94995351340297218</v>
      </c>
      <c r="X39">
        <f t="shared" si="10"/>
        <v>0.92701001551887985</v>
      </c>
      <c r="Y39">
        <f t="shared" si="10"/>
        <v>0.90462065432435201</v>
      </c>
      <c r="Z39">
        <f t="shared" si="10"/>
        <v>0.88277204618136329</v>
      </c>
      <c r="AA39">
        <f t="shared" si="10"/>
        <v>0.86145113069662183</v>
      </c>
      <c r="AB39">
        <f t="shared" si="10"/>
        <v>0.84064516291448821</v>
      </c>
      <c r="AC39">
        <f t="shared" si="10"/>
        <v>0.82034170569845155</v>
      </c>
      <c r="AD39">
        <f t="shared" si="10"/>
        <v>0.80052862229661037</v>
      </c>
    </row>
    <row r="40" spans="2:30">
      <c r="B40">
        <v>0.46250000000000002</v>
      </c>
      <c r="D40">
        <f t="shared" si="3"/>
        <v>2.25</v>
      </c>
      <c r="E40">
        <f t="shared" si="3"/>
        <v>2.25</v>
      </c>
      <c r="F40">
        <f t="shared" si="3"/>
        <v>2.25</v>
      </c>
      <c r="G40">
        <f t="shared" si="3"/>
        <v>2.25</v>
      </c>
      <c r="H40">
        <f t="shared" si="3"/>
        <v>2.25</v>
      </c>
      <c r="I40">
        <f t="shared" si="3"/>
        <v>2.25</v>
      </c>
      <c r="J40">
        <f t="shared" si="3"/>
        <v>2.25</v>
      </c>
      <c r="K40">
        <f t="shared" si="3"/>
        <v>2.25</v>
      </c>
      <c r="L40">
        <f t="shared" si="3"/>
        <v>2.25</v>
      </c>
      <c r="M40">
        <f t="shared" si="4"/>
        <v>102.25</v>
      </c>
      <c r="P40">
        <f t="shared" si="5"/>
        <v>0.46250000000000002</v>
      </c>
      <c r="Q40">
        <f t="shared" si="6"/>
        <v>0.92500000000000004</v>
      </c>
      <c r="R40">
        <f t="shared" si="7"/>
        <v>98.189158605244316</v>
      </c>
      <c r="S40">
        <f t="shared" si="8"/>
        <v>2.0812500000000003</v>
      </c>
      <c r="T40">
        <f t="shared" si="1"/>
        <v>100.27040860524431</v>
      </c>
      <c r="U40">
        <f t="shared" si="10"/>
        <v>0.99816802908080771</v>
      </c>
      <c r="V40">
        <f t="shared" si="10"/>
        <v>0.97406004301615767</v>
      </c>
      <c r="W40">
        <f t="shared" si="10"/>
        <v>0.95053431863006366</v>
      </c>
      <c r="X40">
        <f t="shared" si="10"/>
        <v>0.92757679300323359</v>
      </c>
      <c r="Y40">
        <f t="shared" si="10"/>
        <v>0.90517374286726848</v>
      </c>
      <c r="Z40">
        <f t="shared" si="10"/>
        <v>0.8833117764013354</v>
      </c>
      <c r="AA40">
        <f t="shared" si="10"/>
        <v>0.86197782522696798</v>
      </c>
      <c r="AB40">
        <f t="shared" si="10"/>
        <v>0.84115913659621178</v>
      </c>
      <c r="AC40">
        <f t="shared" si="10"/>
        <v>0.82084326576844269</v>
      </c>
      <c r="AD40">
        <f t="shared" si="10"/>
        <v>0.80101806857130287</v>
      </c>
    </row>
    <row r="41" spans="2:30">
      <c r="B41">
        <v>0.47499999999999998</v>
      </c>
      <c r="D41">
        <f t="shared" si="3"/>
        <v>2.25</v>
      </c>
      <c r="E41">
        <f t="shared" si="3"/>
        <v>2.25</v>
      </c>
      <c r="F41">
        <f t="shared" si="3"/>
        <v>2.25</v>
      </c>
      <c r="G41">
        <f t="shared" si="3"/>
        <v>2.25</v>
      </c>
      <c r="H41">
        <f t="shared" si="3"/>
        <v>2.25</v>
      </c>
      <c r="I41">
        <f t="shared" si="3"/>
        <v>2.25</v>
      </c>
      <c r="J41">
        <f t="shared" si="3"/>
        <v>2.25</v>
      </c>
      <c r="K41">
        <f t="shared" si="3"/>
        <v>2.25</v>
      </c>
      <c r="L41">
        <f t="shared" si="3"/>
        <v>2.25</v>
      </c>
      <c r="M41">
        <f t="shared" si="4"/>
        <v>102.25</v>
      </c>
      <c r="P41">
        <f t="shared" si="5"/>
        <v>0.47499999999999998</v>
      </c>
      <c r="Q41">
        <f t="shared" si="6"/>
        <v>0.95</v>
      </c>
      <c r="R41">
        <f t="shared" si="7"/>
        <v>98.194214318227992</v>
      </c>
      <c r="S41">
        <f t="shared" si="8"/>
        <v>2.1374999999999997</v>
      </c>
      <c r="T41">
        <f t="shared" si="1"/>
        <v>100.33171431822799</v>
      </c>
      <c r="U41">
        <f t="shared" si="10"/>
        <v>0.9987783128479879</v>
      </c>
      <c r="V41">
        <f t="shared" si="10"/>
        <v>0.97465558706805366</v>
      </c>
      <c r="W41">
        <f t="shared" si="10"/>
        <v>0.95111547896370197</v>
      </c>
      <c r="X41">
        <f t="shared" si="10"/>
        <v>0.92814391701751819</v>
      </c>
      <c r="Y41">
        <f t="shared" si="10"/>
        <v>0.9057271695706447</v>
      </c>
      <c r="Z41">
        <f t="shared" si="10"/>
        <v>0.88385183661443734</v>
      </c>
      <c r="AA41">
        <f t="shared" si="10"/>
        <v>0.86250484178037301</v>
      </c>
      <c r="AB41">
        <f t="shared" si="10"/>
        <v>0.84167342452341842</v>
      </c>
      <c r="AC41">
        <f t="shared" si="10"/>
        <v>0.82134513249418728</v>
      </c>
      <c r="AD41">
        <f t="shared" si="10"/>
        <v>0.8015078140953279</v>
      </c>
    </row>
    <row r="42" spans="2:30">
      <c r="B42">
        <v>0.48749999999999999</v>
      </c>
      <c r="D42">
        <f t="shared" si="3"/>
        <v>2.25</v>
      </c>
      <c r="E42">
        <f t="shared" si="3"/>
        <v>2.25</v>
      </c>
      <c r="F42">
        <f t="shared" si="3"/>
        <v>2.25</v>
      </c>
      <c r="G42">
        <f t="shared" si="3"/>
        <v>2.25</v>
      </c>
      <c r="H42">
        <f t="shared" si="3"/>
        <v>2.25</v>
      </c>
      <c r="I42">
        <f t="shared" si="3"/>
        <v>2.25</v>
      </c>
      <c r="J42">
        <f t="shared" si="3"/>
        <v>2.25</v>
      </c>
      <c r="K42">
        <f t="shared" si="3"/>
        <v>2.25</v>
      </c>
      <c r="L42">
        <f t="shared" si="3"/>
        <v>2.25</v>
      </c>
      <c r="M42">
        <f t="shared" si="4"/>
        <v>102.25</v>
      </c>
      <c r="P42">
        <f t="shared" si="5"/>
        <v>0.48749999999999999</v>
      </c>
      <c r="Q42">
        <f t="shared" si="6"/>
        <v>0.97499999999999998</v>
      </c>
      <c r="R42">
        <f t="shared" si="7"/>
        <v>98.199307513760104</v>
      </c>
      <c r="S42">
        <f t="shared" si="8"/>
        <v>2.1937500000000001</v>
      </c>
      <c r="T42">
        <f t="shared" si="1"/>
        <v>100.3930575137601</v>
      </c>
      <c r="U42">
        <f t="shared" si="10"/>
        <v>0.99938896974500779</v>
      </c>
      <c r="V42">
        <f t="shared" si="10"/>
        <v>0.97525149523787025</v>
      </c>
      <c r="W42">
        <f t="shared" si="10"/>
        <v>0.95169699462100066</v>
      </c>
      <c r="X42">
        <f t="shared" si="10"/>
        <v>0.92871138777360385</v>
      </c>
      <c r="Y42">
        <f t="shared" si="10"/>
        <v>0.90628093464123316</v>
      </c>
      <c r="Z42">
        <f t="shared" si="10"/>
        <v>0.88439222702242815</v>
      </c>
      <c r="AA42">
        <f t="shared" si="10"/>
        <v>0.86303218055372344</v>
      </c>
      <c r="AB42">
        <f t="shared" si="10"/>
        <v>0.84218802688823946</v>
      </c>
      <c r="AC42">
        <f t="shared" si="10"/>
        <v>0.8218473060631758</v>
      </c>
      <c r="AD42">
        <f t="shared" si="10"/>
        <v>0.80199785905164755</v>
      </c>
    </row>
    <row r="43" spans="2:30">
      <c r="B43">
        <v>0.5</v>
      </c>
      <c r="D43">
        <f t="shared" si="3"/>
        <v>2.25</v>
      </c>
      <c r="E43">
        <f t="shared" si="3"/>
        <v>2.25</v>
      </c>
      <c r="F43">
        <f t="shared" si="3"/>
        <v>2.25</v>
      </c>
      <c r="G43">
        <f t="shared" si="3"/>
        <v>2.25</v>
      </c>
      <c r="H43">
        <f t="shared" si="3"/>
        <v>2.25</v>
      </c>
      <c r="I43">
        <f t="shared" si="3"/>
        <v>2.25</v>
      </c>
      <c r="J43">
        <f t="shared" si="3"/>
        <v>2.25</v>
      </c>
      <c r="K43">
        <f t="shared" si="3"/>
        <v>2.25</v>
      </c>
      <c r="L43">
        <f t="shared" si="3"/>
        <v>2.25</v>
      </c>
      <c r="M43">
        <f t="shared" si="4"/>
        <v>102.25</v>
      </c>
      <c r="P43">
        <f t="shared" si="5"/>
        <v>0.5</v>
      </c>
      <c r="Q43">
        <f t="shared" si="6"/>
        <v>1</v>
      </c>
      <c r="R43">
        <f t="shared" si="7"/>
        <v>98.204438214757573</v>
      </c>
      <c r="S43">
        <f>(100*$D$1/2)*Q43</f>
        <v>2.25</v>
      </c>
      <c r="T43">
        <f t="shared" si="1"/>
        <v>100.45443821475757</v>
      </c>
      <c r="U43">
        <f t="shared" si="10"/>
        <v>1</v>
      </c>
      <c r="V43">
        <f t="shared" si="10"/>
        <v>0.97584776774823123</v>
      </c>
      <c r="W43">
        <f t="shared" si="10"/>
        <v>0.95227886581920584</v>
      </c>
      <c r="X43">
        <f t="shared" si="10"/>
        <v>0.92927920548348952</v>
      </c>
      <c r="Y43">
        <f t="shared" si="10"/>
        <v>0.90683503828591316</v>
      </c>
      <c r="Z43">
        <f t="shared" si="10"/>
        <v>0.88493294782719012</v>
      </c>
      <c r="AA43">
        <f t="shared" si="10"/>
        <v>0.86355984174402556</v>
      </c>
      <c r="AB43">
        <f t="shared" si="10"/>
        <v>0.84270294388292311</v>
      </c>
      <c r="AC43">
        <f t="shared" si="10"/>
        <v>0.8223497866630135</v>
      </c>
      <c r="AD43">
        <f t="shared" si="10"/>
        <v>0.80248820362333584</v>
      </c>
    </row>
    <row r="44" spans="2:30">
      <c r="B44">
        <v>0.51249999999999996</v>
      </c>
      <c r="D44">
        <f t="shared" si="3"/>
        <v>0</v>
      </c>
      <c r="E44">
        <f t="shared" si="3"/>
        <v>2.25</v>
      </c>
      <c r="F44">
        <f t="shared" si="3"/>
        <v>2.25</v>
      </c>
      <c r="G44">
        <f t="shared" si="3"/>
        <v>2.25</v>
      </c>
      <c r="H44">
        <f t="shared" si="3"/>
        <v>2.25</v>
      </c>
      <c r="I44">
        <f t="shared" si="3"/>
        <v>2.25</v>
      </c>
      <c r="J44">
        <f t="shared" si="3"/>
        <v>2.25</v>
      </c>
      <c r="K44">
        <f t="shared" si="3"/>
        <v>2.25</v>
      </c>
      <c r="L44">
        <f t="shared" si="3"/>
        <v>2.25</v>
      </c>
      <c r="M44">
        <f t="shared" si="4"/>
        <v>102.25</v>
      </c>
      <c r="P44">
        <f t="shared" si="5"/>
        <v>0.51249999999999996</v>
      </c>
      <c r="Q44">
        <v>2.5000000000000001E-2</v>
      </c>
      <c r="R44">
        <f t="shared" si="7"/>
        <v>98.208230785508604</v>
      </c>
      <c r="S44">
        <f t="shared" si="8"/>
        <v>5.6250000000000001E-2</v>
      </c>
      <c r="T44">
        <f t="shared" si="1"/>
        <v>98.26448078550861</v>
      </c>
      <c r="U44">
        <f t="shared" si="10"/>
        <v>0</v>
      </c>
      <c r="V44">
        <f t="shared" si="10"/>
        <v>0.97644440482189543</v>
      </c>
      <c r="W44">
        <f t="shared" si="10"/>
        <v>0.95286109277569686</v>
      </c>
      <c r="X44">
        <f t="shared" si="10"/>
        <v>0.92984737035930409</v>
      </c>
      <c r="Y44">
        <f t="shared" si="10"/>
        <v>0.90738948071168957</v>
      </c>
      <c r="Z44">
        <f t="shared" si="10"/>
        <v>0.885473999230729</v>
      </c>
      <c r="AA44">
        <f t="shared" si="10"/>
        <v>0.86408782554840602</v>
      </c>
      <c r="AB44">
        <f t="shared" si="10"/>
        <v>0.84321817569983493</v>
      </c>
      <c r="AC44">
        <f t="shared" si="10"/>
        <v>0.8228525744814198</v>
      </c>
      <c r="AD44">
        <f t="shared" si="10"/>
        <v>0.80297884799357866</v>
      </c>
    </row>
    <row r="45" spans="2:30">
      <c r="B45">
        <v>0.52500000000000002</v>
      </c>
      <c r="D45">
        <f t="shared" si="3"/>
        <v>0</v>
      </c>
      <c r="E45">
        <f t="shared" si="3"/>
        <v>2.25</v>
      </c>
      <c r="F45">
        <f t="shared" si="3"/>
        <v>2.25</v>
      </c>
      <c r="G45">
        <f t="shared" si="3"/>
        <v>2.25</v>
      </c>
      <c r="H45">
        <f t="shared" si="3"/>
        <v>2.25</v>
      </c>
      <c r="I45">
        <f t="shared" si="3"/>
        <v>2.25</v>
      </c>
      <c r="J45">
        <f t="shared" ref="E45:L77" si="11">IF($B45&lt;=J$2,100*$D$1/2,0)</f>
        <v>2.25</v>
      </c>
      <c r="K45">
        <f t="shared" si="11"/>
        <v>2.25</v>
      </c>
      <c r="L45">
        <f t="shared" si="11"/>
        <v>2.25</v>
      </c>
      <c r="M45">
        <f t="shared" si="4"/>
        <v>102.25</v>
      </c>
      <c r="P45">
        <f t="shared" si="5"/>
        <v>0.52500000000000002</v>
      </c>
      <c r="Q45">
        <v>0.05</v>
      </c>
      <c r="R45">
        <f t="shared" si="7"/>
        <v>98.212060066518077</v>
      </c>
      <c r="S45">
        <f t="shared" si="8"/>
        <v>0.1125</v>
      </c>
      <c r="T45">
        <f t="shared" si="1"/>
        <v>98.324560066518075</v>
      </c>
      <c r="U45">
        <f t="shared" si="10"/>
        <v>0</v>
      </c>
      <c r="V45">
        <f t="shared" si="10"/>
        <v>0.9770414066817581</v>
      </c>
      <c r="W45">
        <f t="shared" si="10"/>
        <v>0.95344367570798538</v>
      </c>
      <c r="X45">
        <f t="shared" si="10"/>
        <v>0.9304158826133061</v>
      </c>
      <c r="Y45">
        <f t="shared" si="10"/>
        <v>0.90794426212569501</v>
      </c>
      <c r="Z45">
        <f t="shared" si="10"/>
        <v>0.88601538143517433</v>
      </c>
      <c r="AA45">
        <f t="shared" si="10"/>
        <v>0.86461613216411259</v>
      </c>
      <c r="AB45">
        <f t="shared" si="10"/>
        <v>0.84373372253145895</v>
      </c>
      <c r="AC45">
        <f t="shared" si="10"/>
        <v>0.82335566970622975</v>
      </c>
      <c r="AD45">
        <f t="shared" si="10"/>
        <v>0.80346979234567428</v>
      </c>
    </row>
    <row r="46" spans="2:30">
      <c r="B46">
        <v>0.53749999999999998</v>
      </c>
      <c r="D46">
        <f t="shared" ref="D46:D109" si="12">IF($B46&lt;=D$2,100*$D$1/2,0)</f>
        <v>0</v>
      </c>
      <c r="E46">
        <f t="shared" si="11"/>
        <v>2.25</v>
      </c>
      <c r="F46">
        <f t="shared" si="11"/>
        <v>2.25</v>
      </c>
      <c r="G46">
        <f t="shared" si="11"/>
        <v>2.25</v>
      </c>
      <c r="H46">
        <f t="shared" si="11"/>
        <v>2.25</v>
      </c>
      <c r="I46">
        <f t="shared" si="11"/>
        <v>2.25</v>
      </c>
      <c r="J46">
        <f t="shared" si="11"/>
        <v>2.25</v>
      </c>
      <c r="K46">
        <f t="shared" si="11"/>
        <v>2.25</v>
      </c>
      <c r="L46">
        <f t="shared" si="11"/>
        <v>2.25</v>
      </c>
      <c r="M46">
        <f t="shared" si="4"/>
        <v>102.25</v>
      </c>
      <c r="P46">
        <f t="shared" si="5"/>
        <v>0.53749999999999998</v>
      </c>
      <c r="Q46">
        <v>7.4999999999999997E-2</v>
      </c>
      <c r="R46">
        <f t="shared" si="7"/>
        <v>98.215926080230687</v>
      </c>
      <c r="S46">
        <f t="shared" si="8"/>
        <v>0.16874999999999998</v>
      </c>
      <c r="T46">
        <f t="shared" si="1"/>
        <v>98.38467608023069</v>
      </c>
      <c r="U46">
        <f t="shared" si="10"/>
        <v>0</v>
      </c>
      <c r="V46">
        <f t="shared" si="10"/>
        <v>0.97763877355085138</v>
      </c>
      <c r="W46">
        <f t="shared" si="10"/>
        <v>0.95402661483371676</v>
      </c>
      <c r="X46">
        <f t="shared" si="10"/>
        <v>0.9309847424578841</v>
      </c>
      <c r="Y46">
        <f t="shared" si="10"/>
        <v>0.90849938273518804</v>
      </c>
      <c r="Z46">
        <f t="shared" si="10"/>
        <v>0.88655709464277921</v>
      </c>
      <c r="AA46">
        <f t="shared" si="10"/>
        <v>0.86514476178851352</v>
      </c>
      <c r="AB46">
        <f t="shared" si="10"/>
        <v>0.84424958457039612</v>
      </c>
      <c r="AC46">
        <f t="shared" si="10"/>
        <v>0.82385907252539259</v>
      </c>
      <c r="AD46">
        <f t="shared" si="10"/>
        <v>0.80396103686303244</v>
      </c>
    </row>
    <row r="47" spans="2:30">
      <c r="B47">
        <v>0.55000000000000004</v>
      </c>
      <c r="D47">
        <f t="shared" si="12"/>
        <v>0</v>
      </c>
      <c r="E47">
        <f t="shared" si="11"/>
        <v>2.25</v>
      </c>
      <c r="F47">
        <f t="shared" si="11"/>
        <v>2.25</v>
      </c>
      <c r="G47">
        <f t="shared" si="11"/>
        <v>2.25</v>
      </c>
      <c r="H47">
        <f t="shared" si="11"/>
        <v>2.25</v>
      </c>
      <c r="I47">
        <f t="shared" si="11"/>
        <v>2.25</v>
      </c>
      <c r="J47">
        <f t="shared" si="11"/>
        <v>2.25</v>
      </c>
      <c r="K47">
        <f t="shared" si="11"/>
        <v>2.25</v>
      </c>
      <c r="L47">
        <f t="shared" si="11"/>
        <v>2.25</v>
      </c>
      <c r="M47">
        <f t="shared" si="4"/>
        <v>102.25</v>
      </c>
      <c r="P47">
        <f t="shared" si="5"/>
        <v>0.55000000000000004</v>
      </c>
      <c r="Q47">
        <v>0.1</v>
      </c>
      <c r="R47">
        <f t="shared" si="7"/>
        <v>98.219828849105042</v>
      </c>
      <c r="S47">
        <f t="shared" si="8"/>
        <v>0.22500000000000001</v>
      </c>
      <c r="T47">
        <f t="shared" si="1"/>
        <v>98.444828849105036</v>
      </c>
      <c r="U47">
        <f t="shared" si="10"/>
        <v>0</v>
      </c>
      <c r="V47">
        <f t="shared" si="10"/>
        <v>0.97823650565234288</v>
      </c>
      <c r="W47">
        <f t="shared" si="10"/>
        <v>0.95460991037066867</v>
      </c>
      <c r="X47">
        <f t="shared" si="10"/>
        <v>0.93155395010555608</v>
      </c>
      <c r="Y47">
        <f t="shared" si="10"/>
        <v>0.90905484274755399</v>
      </c>
      <c r="Z47">
        <f t="shared" si="10"/>
        <v>0.88709913905591997</v>
      </c>
      <c r="AA47">
        <f t="shared" si="10"/>
        <v>0.86567371461909726</v>
      </c>
      <c r="AB47">
        <f t="shared" si="10"/>
        <v>0.84476576200936548</v>
      </c>
      <c r="AC47">
        <f t="shared" si="10"/>
        <v>0.82436278312697275</v>
      </c>
      <c r="AD47">
        <f t="shared" si="10"/>
        <v>0.80445258172917566</v>
      </c>
    </row>
    <row r="48" spans="2:30">
      <c r="B48">
        <v>0.5625</v>
      </c>
      <c r="D48">
        <f t="shared" si="12"/>
        <v>0</v>
      </c>
      <c r="E48">
        <f t="shared" si="11"/>
        <v>2.25</v>
      </c>
      <c r="F48">
        <f t="shared" si="11"/>
        <v>2.25</v>
      </c>
      <c r="G48">
        <f t="shared" si="11"/>
        <v>2.25</v>
      </c>
      <c r="H48">
        <f t="shared" si="11"/>
        <v>2.25</v>
      </c>
      <c r="I48">
        <f t="shared" si="11"/>
        <v>2.25</v>
      </c>
      <c r="J48">
        <f t="shared" si="11"/>
        <v>2.25</v>
      </c>
      <c r="K48">
        <f t="shared" si="11"/>
        <v>2.25</v>
      </c>
      <c r="L48">
        <f t="shared" si="11"/>
        <v>2.25</v>
      </c>
      <c r="M48">
        <f t="shared" si="4"/>
        <v>102.25</v>
      </c>
      <c r="P48">
        <f t="shared" si="5"/>
        <v>0.5625</v>
      </c>
      <c r="Q48">
        <v>0.125</v>
      </c>
      <c r="R48">
        <f t="shared" si="7"/>
        <v>98.22376839561332</v>
      </c>
      <c r="S48">
        <f t="shared" si="8"/>
        <v>0.28125</v>
      </c>
      <c r="T48">
        <f t="shared" si="1"/>
        <v>98.50501839561332</v>
      </c>
      <c r="U48">
        <f t="shared" si="10"/>
        <v>0</v>
      </c>
      <c r="V48">
        <f t="shared" si="10"/>
        <v>0.97883460320953708</v>
      </c>
      <c r="W48">
        <f t="shared" si="10"/>
        <v>0.95519356253675247</v>
      </c>
      <c r="X48">
        <f t="shared" si="10"/>
        <v>0.93212350576897052</v>
      </c>
      <c r="Y48">
        <f t="shared" si="10"/>
        <v>0.90961064237030542</v>
      </c>
      <c r="Z48">
        <f t="shared" si="10"/>
        <v>0.88764151487709708</v>
      </c>
      <c r="AA48">
        <f t="shared" si="10"/>
        <v>0.86620299085347352</v>
      </c>
      <c r="AB48">
        <f t="shared" si="10"/>
        <v>0.8452822550412038</v>
      </c>
      <c r="AC48">
        <f t="shared" si="10"/>
        <v>0.82486680169914983</v>
      </c>
      <c r="AD48">
        <f t="shared" si="10"/>
        <v>0.80494442712773817</v>
      </c>
    </row>
    <row r="49" spans="2:30">
      <c r="B49">
        <v>0.57499999999999996</v>
      </c>
      <c r="D49">
        <f t="shared" si="12"/>
        <v>0</v>
      </c>
      <c r="E49">
        <f t="shared" si="11"/>
        <v>2.25</v>
      </c>
      <c r="F49">
        <f t="shared" si="11"/>
        <v>2.25</v>
      </c>
      <c r="G49">
        <f t="shared" si="11"/>
        <v>2.25</v>
      </c>
      <c r="H49">
        <f t="shared" si="11"/>
        <v>2.25</v>
      </c>
      <c r="I49">
        <f t="shared" si="11"/>
        <v>2.25</v>
      </c>
      <c r="J49">
        <f t="shared" si="11"/>
        <v>2.25</v>
      </c>
      <c r="K49">
        <f t="shared" si="11"/>
        <v>2.25</v>
      </c>
      <c r="L49">
        <f t="shared" si="11"/>
        <v>2.25</v>
      </c>
      <c r="M49">
        <f t="shared" si="4"/>
        <v>102.25</v>
      </c>
      <c r="P49">
        <f t="shared" si="5"/>
        <v>0.57499999999999996</v>
      </c>
      <c r="Q49">
        <v>0.15</v>
      </c>
      <c r="R49">
        <f t="shared" si="7"/>
        <v>98.227744742241555</v>
      </c>
      <c r="S49">
        <f t="shared" si="8"/>
        <v>0.33749999999999997</v>
      </c>
      <c r="T49">
        <f t="shared" si="1"/>
        <v>98.565244742241561</v>
      </c>
      <c r="U49">
        <f t="shared" si="10"/>
        <v>0</v>
      </c>
      <c r="V49">
        <f t="shared" si="10"/>
        <v>0.97943306644587558</v>
      </c>
      <c r="W49">
        <f t="shared" si="10"/>
        <v>0.95577757155001264</v>
      </c>
      <c r="X49">
        <f t="shared" si="10"/>
        <v>0.93269340966090508</v>
      </c>
      <c r="Y49">
        <f t="shared" si="10"/>
        <v>0.91016678181108079</v>
      </c>
      <c r="Z49">
        <f t="shared" si="10"/>
        <v>0.88818422230893457</v>
      </c>
      <c r="AA49">
        <f t="shared" si="10"/>
        <v>0.8667325906893727</v>
      </c>
      <c r="AB49">
        <f t="shared" si="10"/>
        <v>0.84579906385886561</v>
      </c>
      <c r="AC49">
        <f t="shared" si="10"/>
        <v>0.82537112843021765</v>
      </c>
      <c r="AD49">
        <f t="shared" si="10"/>
        <v>0.80543657324246665</v>
      </c>
    </row>
    <row r="50" spans="2:30">
      <c r="B50">
        <v>0.58750000000000002</v>
      </c>
      <c r="D50">
        <f t="shared" si="12"/>
        <v>0</v>
      </c>
      <c r="E50">
        <f t="shared" si="11"/>
        <v>2.25</v>
      </c>
      <c r="F50">
        <f t="shared" si="11"/>
        <v>2.25</v>
      </c>
      <c r="G50">
        <f t="shared" si="11"/>
        <v>2.25</v>
      </c>
      <c r="H50">
        <f t="shared" si="11"/>
        <v>2.25</v>
      </c>
      <c r="I50">
        <f t="shared" si="11"/>
        <v>2.25</v>
      </c>
      <c r="J50">
        <f t="shared" si="11"/>
        <v>2.25</v>
      </c>
      <c r="K50">
        <f t="shared" si="11"/>
        <v>2.25</v>
      </c>
      <c r="L50">
        <f t="shared" si="11"/>
        <v>2.25</v>
      </c>
      <c r="M50">
        <f t="shared" si="4"/>
        <v>102.25</v>
      </c>
      <c r="P50">
        <f t="shared" si="5"/>
        <v>0.58750000000000002</v>
      </c>
      <c r="Q50">
        <v>0.17499999999999999</v>
      </c>
      <c r="R50">
        <f t="shared" si="7"/>
        <v>98.231757911489453</v>
      </c>
      <c r="S50">
        <f t="shared" si="8"/>
        <v>0.39374999999999999</v>
      </c>
      <c r="T50">
        <f t="shared" si="1"/>
        <v>98.62550791148945</v>
      </c>
      <c r="U50">
        <f t="shared" si="10"/>
        <v>0</v>
      </c>
      <c r="V50">
        <f t="shared" si="10"/>
        <v>0.98003189558493531</v>
      </c>
      <c r="W50">
        <f t="shared" si="10"/>
        <v>0.95636193762862676</v>
      </c>
      <c r="X50">
        <f t="shared" si="10"/>
        <v>0.93326366199426847</v>
      </c>
      <c r="Y50">
        <f t="shared" si="10"/>
        <v>0.91072326127764669</v>
      </c>
      <c r="Z50">
        <f t="shared" si="10"/>
        <v>0.88872726155418069</v>
      </c>
      <c r="AA50">
        <f t="shared" si="10"/>
        <v>0.86726251432464574</v>
      </c>
      <c r="AB50">
        <f t="shared" si="10"/>
        <v>0.84631618865542391</v>
      </c>
      <c r="AC50">
        <f t="shared" si="10"/>
        <v>0.82587576350858638</v>
      </c>
      <c r="AD50">
        <f t="shared" si="10"/>
        <v>0.80592902025722013</v>
      </c>
    </row>
    <row r="51" spans="2:30">
      <c r="B51">
        <v>0.6</v>
      </c>
      <c r="D51">
        <f t="shared" si="12"/>
        <v>0</v>
      </c>
      <c r="E51">
        <f t="shared" si="11"/>
        <v>2.25</v>
      </c>
      <c r="F51">
        <f t="shared" si="11"/>
        <v>2.25</v>
      </c>
      <c r="G51">
        <f t="shared" si="11"/>
        <v>2.25</v>
      </c>
      <c r="H51">
        <f t="shared" si="11"/>
        <v>2.25</v>
      </c>
      <c r="I51">
        <f t="shared" si="11"/>
        <v>2.25</v>
      </c>
      <c r="J51">
        <f t="shared" si="11"/>
        <v>2.25</v>
      </c>
      <c r="K51">
        <f t="shared" si="11"/>
        <v>2.25</v>
      </c>
      <c r="L51">
        <f t="shared" si="11"/>
        <v>2.25</v>
      </c>
      <c r="M51">
        <f t="shared" si="4"/>
        <v>102.25</v>
      </c>
      <c r="P51">
        <f t="shared" si="5"/>
        <v>0.6</v>
      </c>
      <c r="Q51">
        <v>0.2</v>
      </c>
      <c r="R51">
        <f t="shared" si="7"/>
        <v>98.235807925870532</v>
      </c>
      <c r="S51">
        <f t="shared" si="8"/>
        <v>0.45</v>
      </c>
      <c r="T51">
        <f t="shared" si="1"/>
        <v>98.685807925870535</v>
      </c>
      <c r="U51">
        <f t="shared" ref="U51:AD66" si="13">IF((1/(1+$O$3/2)^((U$2-$P51)*2))&lt;=1,1/(1+$O$3/2)^((U$2-$P51)*2),0)</f>
        <v>0</v>
      </c>
      <c r="V51">
        <f t="shared" si="13"/>
        <v>0.98063109085043088</v>
      </c>
      <c r="W51">
        <f t="shared" si="13"/>
        <v>0.95694666099090597</v>
      </c>
      <c r="X51">
        <f t="shared" si="13"/>
        <v>0.93383426298209904</v>
      </c>
      <c r="Y51">
        <f t="shared" si="13"/>
        <v>0.91128008097789603</v>
      </c>
      <c r="Z51">
        <f t="shared" si="13"/>
        <v>0.88927063281570717</v>
      </c>
      <c r="AA51">
        <f t="shared" si="13"/>
        <v>0.86779276195726485</v>
      </c>
      <c r="AB51">
        <f t="shared" si="13"/>
        <v>0.84683362962406916</v>
      </c>
      <c r="AC51">
        <f t="shared" si="13"/>
        <v>0.82638070712278033</v>
      </c>
      <c r="AD51">
        <f t="shared" si="13"/>
        <v>0.80642176835597001</v>
      </c>
    </row>
    <row r="52" spans="2:30">
      <c r="B52">
        <v>0.61250000000000004</v>
      </c>
      <c r="D52">
        <f t="shared" si="12"/>
        <v>0</v>
      </c>
      <c r="E52">
        <f t="shared" si="11"/>
        <v>2.25</v>
      </c>
      <c r="F52">
        <f t="shared" si="11"/>
        <v>2.25</v>
      </c>
      <c r="G52">
        <f t="shared" si="11"/>
        <v>2.25</v>
      </c>
      <c r="H52">
        <f t="shared" si="11"/>
        <v>2.25</v>
      </c>
      <c r="I52">
        <f t="shared" si="11"/>
        <v>2.25</v>
      </c>
      <c r="J52">
        <f t="shared" si="11"/>
        <v>2.25</v>
      </c>
      <c r="K52">
        <f t="shared" si="11"/>
        <v>2.25</v>
      </c>
      <c r="L52">
        <f t="shared" si="11"/>
        <v>2.25</v>
      </c>
      <c r="M52">
        <f t="shared" si="4"/>
        <v>102.25</v>
      </c>
      <c r="P52">
        <f t="shared" si="5"/>
        <v>0.61250000000000004</v>
      </c>
      <c r="Q52">
        <v>0.22500000000000001</v>
      </c>
      <c r="R52">
        <f t="shared" si="7"/>
        <v>98.239894807912009</v>
      </c>
      <c r="S52">
        <f t="shared" si="8"/>
        <v>0.50624999999999998</v>
      </c>
      <c r="T52">
        <f t="shared" si="1"/>
        <v>98.746144807912003</v>
      </c>
      <c r="U52">
        <f t="shared" si="13"/>
        <v>0</v>
      </c>
      <c r="V52">
        <f t="shared" si="13"/>
        <v>0.98123065246621366</v>
      </c>
      <c r="W52">
        <f t="shared" si="13"/>
        <v>0.9575317418552951</v>
      </c>
      <c r="X52">
        <f t="shared" si="13"/>
        <v>0.93440521283756539</v>
      </c>
      <c r="Y52">
        <f t="shared" si="13"/>
        <v>0.91183724111984898</v>
      </c>
      <c r="Z52">
        <f t="shared" si="13"/>
        <v>0.8898143362965103</v>
      </c>
      <c r="AA52">
        <f t="shared" si="13"/>
        <v>0.86832333378532345</v>
      </c>
      <c r="AB52">
        <f t="shared" si="13"/>
        <v>0.84735138695811019</v>
      </c>
      <c r="AC52">
        <f t="shared" si="13"/>
        <v>0.8268859594614395</v>
      </c>
      <c r="AD52">
        <f t="shared" si="13"/>
        <v>0.80691481772280016</v>
      </c>
    </row>
    <row r="53" spans="2:30">
      <c r="B53">
        <v>0.625</v>
      </c>
      <c r="D53">
        <f t="shared" si="12"/>
        <v>0</v>
      </c>
      <c r="E53">
        <f t="shared" si="11"/>
        <v>2.25</v>
      </c>
      <c r="F53">
        <f t="shared" si="11"/>
        <v>2.25</v>
      </c>
      <c r="G53">
        <f t="shared" si="11"/>
        <v>2.25</v>
      </c>
      <c r="H53">
        <f t="shared" si="11"/>
        <v>2.25</v>
      </c>
      <c r="I53">
        <f t="shared" si="11"/>
        <v>2.25</v>
      </c>
      <c r="J53">
        <f t="shared" si="11"/>
        <v>2.25</v>
      </c>
      <c r="K53">
        <f t="shared" si="11"/>
        <v>2.25</v>
      </c>
      <c r="L53">
        <f t="shared" si="11"/>
        <v>2.25</v>
      </c>
      <c r="M53">
        <f t="shared" si="4"/>
        <v>102.25</v>
      </c>
      <c r="P53">
        <f t="shared" si="5"/>
        <v>0.625</v>
      </c>
      <c r="Q53">
        <v>0.25</v>
      </c>
      <c r="R53">
        <f t="shared" si="7"/>
        <v>98.244018580154943</v>
      </c>
      <c r="S53">
        <f t="shared" si="8"/>
        <v>0.5625</v>
      </c>
      <c r="T53">
        <f t="shared" si="1"/>
        <v>98.806518580154943</v>
      </c>
      <c r="U53">
        <f t="shared" si="13"/>
        <v>0</v>
      </c>
      <c r="V53">
        <f t="shared" si="13"/>
        <v>0.98183058065627116</v>
      </c>
      <c r="W53">
        <f t="shared" si="13"/>
        <v>0.95811718044037208</v>
      </c>
      <c r="X53">
        <f t="shared" si="13"/>
        <v>0.93497651177396635</v>
      </c>
      <c r="Y53">
        <f t="shared" si="13"/>
        <v>0.91239474191165282</v>
      </c>
      <c r="Z53">
        <f t="shared" si="13"/>
        <v>0.89035837219971004</v>
      </c>
      <c r="AA53">
        <f t="shared" si="13"/>
        <v>0.86885423000703577</v>
      </c>
      <c r="AB53">
        <f t="shared" si="13"/>
        <v>0.84786946085097425</v>
      </c>
      <c r="AC53">
        <f t="shared" si="13"/>
        <v>0.82739152071331945</v>
      </c>
      <c r="AD53">
        <f t="shared" si="13"/>
        <v>0.80740816854190722</v>
      </c>
    </row>
    <row r="54" spans="2:30">
      <c r="B54">
        <v>0.63749999999999996</v>
      </c>
      <c r="D54">
        <f t="shared" si="12"/>
        <v>0</v>
      </c>
      <c r="E54">
        <f t="shared" si="11"/>
        <v>2.25</v>
      </c>
      <c r="F54">
        <f t="shared" si="11"/>
        <v>2.25</v>
      </c>
      <c r="G54">
        <f t="shared" si="11"/>
        <v>2.25</v>
      </c>
      <c r="H54">
        <f t="shared" si="11"/>
        <v>2.25</v>
      </c>
      <c r="I54">
        <f t="shared" si="11"/>
        <v>2.25</v>
      </c>
      <c r="J54">
        <f t="shared" si="11"/>
        <v>2.25</v>
      </c>
      <c r="K54">
        <f t="shared" si="11"/>
        <v>2.25</v>
      </c>
      <c r="L54">
        <f t="shared" si="11"/>
        <v>2.25</v>
      </c>
      <c r="M54">
        <f t="shared" si="4"/>
        <v>102.25</v>
      </c>
      <c r="P54">
        <f t="shared" si="5"/>
        <v>0.63749999999999996</v>
      </c>
      <c r="Q54">
        <v>0.27500000000000002</v>
      </c>
      <c r="R54">
        <f t="shared" si="7"/>
        <v>98.248179265154135</v>
      </c>
      <c r="S54">
        <f t="shared" si="8"/>
        <v>0.61875000000000002</v>
      </c>
      <c r="T54">
        <f t="shared" si="1"/>
        <v>98.866929265154141</v>
      </c>
      <c r="U54">
        <f t="shared" si="13"/>
        <v>0</v>
      </c>
      <c r="V54">
        <f t="shared" si="13"/>
        <v>0.98243087564472875</v>
      </c>
      <c r="W54">
        <f t="shared" si="13"/>
        <v>0.95870297696484874</v>
      </c>
      <c r="X54">
        <f t="shared" si="13"/>
        <v>0.93554816000473162</v>
      </c>
      <c r="Y54">
        <f t="shared" si="13"/>
        <v>0.91295258356158249</v>
      </c>
      <c r="Z54">
        <f t="shared" si="13"/>
        <v>0.8909027407285508</v>
      </c>
      <c r="AA54">
        <f t="shared" si="13"/>
        <v>0.86938545082073737</v>
      </c>
      <c r="AB54">
        <f t="shared" si="13"/>
        <v>0.84838785149620632</v>
      </c>
      <c r="AC54">
        <f t="shared" si="13"/>
        <v>0.82789739106729077</v>
      </c>
      <c r="AD54">
        <f t="shared" si="13"/>
        <v>0.80790182099760011</v>
      </c>
    </row>
    <row r="55" spans="2:30">
      <c r="B55">
        <v>0.65</v>
      </c>
      <c r="D55">
        <f t="shared" si="12"/>
        <v>0</v>
      </c>
      <c r="E55">
        <f t="shared" si="11"/>
        <v>2.25</v>
      </c>
      <c r="F55">
        <f t="shared" si="11"/>
        <v>2.25</v>
      </c>
      <c r="G55">
        <f t="shared" si="11"/>
        <v>2.25</v>
      </c>
      <c r="H55">
        <f t="shared" si="11"/>
        <v>2.25</v>
      </c>
      <c r="I55">
        <f t="shared" si="11"/>
        <v>2.25</v>
      </c>
      <c r="J55">
        <f t="shared" si="11"/>
        <v>2.25</v>
      </c>
      <c r="K55">
        <f t="shared" si="11"/>
        <v>2.25</v>
      </c>
      <c r="L55">
        <f t="shared" si="11"/>
        <v>2.25</v>
      </c>
      <c r="M55">
        <f t="shared" si="4"/>
        <v>102.25</v>
      </c>
      <c r="P55">
        <f t="shared" si="5"/>
        <v>0.65</v>
      </c>
      <c r="Q55">
        <v>0.3</v>
      </c>
      <c r="R55">
        <f t="shared" si="7"/>
        <v>98.252376885478185</v>
      </c>
      <c r="S55">
        <f t="shared" si="8"/>
        <v>0.67499999999999993</v>
      </c>
      <c r="T55">
        <f t="shared" si="1"/>
        <v>98.927376885478182</v>
      </c>
      <c r="U55">
        <f t="shared" si="13"/>
        <v>0</v>
      </c>
      <c r="V55">
        <f t="shared" si="13"/>
        <v>0.98303153765584805</v>
      </c>
      <c r="W55">
        <f t="shared" si="13"/>
        <v>0.95928913164757079</v>
      </c>
      <c r="X55">
        <f t="shared" si="13"/>
        <v>0.93612015774342094</v>
      </c>
      <c r="Y55">
        <f t="shared" si="13"/>
        <v>0.9135107662780394</v>
      </c>
      <c r="Z55">
        <f t="shared" si="13"/>
        <v>0.89144744208640103</v>
      </c>
      <c r="AA55">
        <f t="shared" si="13"/>
        <v>0.86991699642488507</v>
      </c>
      <c r="AB55">
        <f t="shared" si="13"/>
        <v>0.84890655908747015</v>
      </c>
      <c r="AC55">
        <f t="shared" si="13"/>
        <v>0.82840357071233961</v>
      </c>
      <c r="AD55">
        <f t="shared" si="13"/>
        <v>0.80839577527430062</v>
      </c>
    </row>
    <row r="56" spans="2:30">
      <c r="B56">
        <v>0.66249999999999998</v>
      </c>
      <c r="D56">
        <f t="shared" si="12"/>
        <v>0</v>
      </c>
      <c r="E56">
        <f t="shared" si="11"/>
        <v>2.25</v>
      </c>
      <c r="F56">
        <f t="shared" si="11"/>
        <v>2.25</v>
      </c>
      <c r="G56">
        <f t="shared" si="11"/>
        <v>2.25</v>
      </c>
      <c r="H56">
        <f t="shared" si="11"/>
        <v>2.25</v>
      </c>
      <c r="I56">
        <f t="shared" si="11"/>
        <v>2.25</v>
      </c>
      <c r="J56">
        <f t="shared" si="11"/>
        <v>2.25</v>
      </c>
      <c r="K56">
        <f t="shared" si="11"/>
        <v>2.25</v>
      </c>
      <c r="L56">
        <f t="shared" si="11"/>
        <v>2.25</v>
      </c>
      <c r="M56">
        <f t="shared" si="4"/>
        <v>102.25</v>
      </c>
      <c r="P56">
        <f t="shared" si="5"/>
        <v>0.66249999999999998</v>
      </c>
      <c r="Q56">
        <v>0.32500000000000001</v>
      </c>
      <c r="R56">
        <f t="shared" si="7"/>
        <v>98.25661146370949</v>
      </c>
      <c r="S56">
        <f t="shared" si="8"/>
        <v>0.73125000000000007</v>
      </c>
      <c r="T56">
        <f t="shared" si="1"/>
        <v>98.987861463709493</v>
      </c>
      <c r="U56">
        <f t="shared" si="13"/>
        <v>0</v>
      </c>
      <c r="V56">
        <f t="shared" si="13"/>
        <v>0.98363256691402823</v>
      </c>
      <c r="W56">
        <f t="shared" si="13"/>
        <v>0.95987564470751729</v>
      </c>
      <c r="X56">
        <f t="shared" si="13"/>
        <v>0.93669250520372505</v>
      </c>
      <c r="Y56">
        <f t="shared" si="13"/>
        <v>0.91406929026955341</v>
      </c>
      <c r="Z56">
        <f t="shared" si="13"/>
        <v>0.89199247647675373</v>
      </c>
      <c r="AA56">
        <f t="shared" si="13"/>
        <v>0.87044886701805679</v>
      </c>
      <c r="AB56">
        <f t="shared" si="13"/>
        <v>0.84942558381854771</v>
      </c>
      <c r="AC56">
        <f t="shared" si="13"/>
        <v>0.82891005983756783</v>
      </c>
      <c r="AD56">
        <f t="shared" si="13"/>
        <v>0.80889003155654338</v>
      </c>
    </row>
    <row r="57" spans="2:30">
      <c r="B57">
        <v>0.67500000000000004</v>
      </c>
      <c r="D57">
        <f t="shared" si="12"/>
        <v>0</v>
      </c>
      <c r="E57">
        <f t="shared" si="11"/>
        <v>2.25</v>
      </c>
      <c r="F57">
        <f t="shared" si="11"/>
        <v>2.25</v>
      </c>
      <c r="G57">
        <f t="shared" si="11"/>
        <v>2.25</v>
      </c>
      <c r="H57">
        <f t="shared" si="11"/>
        <v>2.25</v>
      </c>
      <c r="I57">
        <f t="shared" si="11"/>
        <v>2.25</v>
      </c>
      <c r="J57">
        <f t="shared" si="11"/>
        <v>2.25</v>
      </c>
      <c r="K57">
        <f t="shared" si="11"/>
        <v>2.25</v>
      </c>
      <c r="L57">
        <f t="shared" si="11"/>
        <v>2.25</v>
      </c>
      <c r="M57">
        <f t="shared" si="4"/>
        <v>102.25</v>
      </c>
      <c r="P57">
        <f t="shared" si="5"/>
        <v>0.67500000000000004</v>
      </c>
      <c r="Q57">
        <v>0.35</v>
      </c>
      <c r="R57">
        <f t="shared" si="7"/>
        <v>98.26088302244429</v>
      </c>
      <c r="S57">
        <f t="shared" si="8"/>
        <v>0.78749999999999998</v>
      </c>
      <c r="T57">
        <f t="shared" si="1"/>
        <v>99.048383022444284</v>
      </c>
      <c r="U57">
        <f t="shared" si="13"/>
        <v>0</v>
      </c>
      <c r="V57">
        <f t="shared" si="13"/>
        <v>0.98423396364380566</v>
      </c>
      <c r="W57">
        <f t="shared" si="13"/>
        <v>0.96046251636380153</v>
      </c>
      <c r="X57">
        <f t="shared" si="13"/>
        <v>0.93726520259946466</v>
      </c>
      <c r="Y57">
        <f t="shared" si="13"/>
        <v>0.91462815574478129</v>
      </c>
      <c r="Z57">
        <f t="shared" si="13"/>
        <v>0.89253784410322634</v>
      </c>
      <c r="AA57">
        <f t="shared" si="13"/>
        <v>0.87098106279895227</v>
      </c>
      <c r="AB57">
        <f t="shared" si="13"/>
        <v>0.84994492588333959</v>
      </c>
      <c r="AC57">
        <f t="shared" si="13"/>
        <v>0.82941685863219272</v>
      </c>
      <c r="AD57">
        <f t="shared" si="13"/>
        <v>0.80938459002897567</v>
      </c>
    </row>
    <row r="58" spans="2:30">
      <c r="B58">
        <v>0.6875</v>
      </c>
      <c r="D58">
        <f t="shared" si="12"/>
        <v>0</v>
      </c>
      <c r="E58">
        <f t="shared" si="11"/>
        <v>2.25</v>
      </c>
      <c r="F58">
        <f t="shared" si="11"/>
        <v>2.25</v>
      </c>
      <c r="G58">
        <f t="shared" si="11"/>
        <v>2.25</v>
      </c>
      <c r="H58">
        <f t="shared" si="11"/>
        <v>2.25</v>
      </c>
      <c r="I58">
        <f t="shared" si="11"/>
        <v>2.25</v>
      </c>
      <c r="J58">
        <f t="shared" si="11"/>
        <v>2.25</v>
      </c>
      <c r="K58">
        <f t="shared" si="11"/>
        <v>2.25</v>
      </c>
      <c r="L58">
        <f t="shared" si="11"/>
        <v>2.25</v>
      </c>
      <c r="M58">
        <f t="shared" si="4"/>
        <v>102.25</v>
      </c>
      <c r="P58">
        <f t="shared" si="5"/>
        <v>0.6875</v>
      </c>
      <c r="Q58">
        <v>0.375</v>
      </c>
      <c r="R58">
        <f t="shared" si="7"/>
        <v>98.265191584292523</v>
      </c>
      <c r="S58">
        <f t="shared" si="8"/>
        <v>0.84375</v>
      </c>
      <c r="T58">
        <f t="shared" si="1"/>
        <v>99.108941584292523</v>
      </c>
      <c r="U58">
        <f t="shared" si="13"/>
        <v>0</v>
      </c>
      <c r="V58">
        <f t="shared" si="13"/>
        <v>0.98483572806985353</v>
      </c>
      <c r="W58">
        <f t="shared" si="13"/>
        <v>0.96104974683567079</v>
      </c>
      <c r="X58">
        <f t="shared" si="13"/>
        <v>0.9378382501445921</v>
      </c>
      <c r="Y58">
        <f t="shared" si="13"/>
        <v>0.91518736291250746</v>
      </c>
      <c r="Z58">
        <f t="shared" si="13"/>
        <v>0.89308354516956079</v>
      </c>
      <c r="AA58">
        <f t="shared" si="13"/>
        <v>0.87151358396639256</v>
      </c>
      <c r="AB58">
        <f t="shared" si="13"/>
        <v>0.8504645854758649</v>
      </c>
      <c r="AC58">
        <f t="shared" si="13"/>
        <v>0.82992396728554751</v>
      </c>
      <c r="AD58">
        <f t="shared" si="13"/>
        <v>0.80987945087635749</v>
      </c>
    </row>
    <row r="59" spans="2:30">
      <c r="B59">
        <v>0.7</v>
      </c>
      <c r="D59">
        <f t="shared" si="12"/>
        <v>0</v>
      </c>
      <c r="E59">
        <f t="shared" si="11"/>
        <v>2.25</v>
      </c>
      <c r="F59">
        <f t="shared" si="11"/>
        <v>2.25</v>
      </c>
      <c r="G59">
        <f t="shared" si="11"/>
        <v>2.25</v>
      </c>
      <c r="H59">
        <f t="shared" si="11"/>
        <v>2.25</v>
      </c>
      <c r="I59">
        <f t="shared" si="11"/>
        <v>2.25</v>
      </c>
      <c r="J59">
        <f t="shared" si="11"/>
        <v>2.25</v>
      </c>
      <c r="K59">
        <f t="shared" si="11"/>
        <v>2.25</v>
      </c>
      <c r="L59">
        <f t="shared" si="11"/>
        <v>2.25</v>
      </c>
      <c r="M59">
        <f t="shared" si="4"/>
        <v>102.25</v>
      </c>
      <c r="P59">
        <f t="shared" si="5"/>
        <v>0.7</v>
      </c>
      <c r="Q59">
        <v>0.4</v>
      </c>
      <c r="R59">
        <f t="shared" si="7"/>
        <v>98.269537171878113</v>
      </c>
      <c r="S59">
        <f t="shared" si="8"/>
        <v>0.9</v>
      </c>
      <c r="T59">
        <f t="shared" si="1"/>
        <v>99.169537171878119</v>
      </c>
      <c r="U59">
        <f t="shared" si="13"/>
        <v>0</v>
      </c>
      <c r="V59">
        <f t="shared" si="13"/>
        <v>0.98543786041698334</v>
      </c>
      <c r="W59">
        <f t="shared" si="13"/>
        <v>0.96163733634250614</v>
      </c>
      <c r="X59">
        <f t="shared" si="13"/>
        <v>0.93841164805318977</v>
      </c>
      <c r="Y59">
        <f t="shared" si="13"/>
        <v>0.91574691198164393</v>
      </c>
      <c r="Z59">
        <f t="shared" si="13"/>
        <v>0.89362957987962333</v>
      </c>
      <c r="AA59">
        <f t="shared" si="13"/>
        <v>0.87204643071932009</v>
      </c>
      <c r="AB59">
        <f t="shared" si="13"/>
        <v>0.85098456279026102</v>
      </c>
      <c r="AC59">
        <f t="shared" si="13"/>
        <v>0.83043138598708077</v>
      </c>
      <c r="AD59">
        <f t="shared" si="13"/>
        <v>0.8103746142835625</v>
      </c>
    </row>
    <row r="60" spans="2:30">
      <c r="B60">
        <v>0.71250000000000002</v>
      </c>
      <c r="D60">
        <f t="shared" si="12"/>
        <v>0</v>
      </c>
      <c r="E60">
        <f t="shared" si="11"/>
        <v>2.25</v>
      </c>
      <c r="F60">
        <f t="shared" si="11"/>
        <v>2.25</v>
      </c>
      <c r="G60">
        <f t="shared" si="11"/>
        <v>2.25</v>
      </c>
      <c r="H60">
        <f t="shared" si="11"/>
        <v>2.25</v>
      </c>
      <c r="I60">
        <f t="shared" si="11"/>
        <v>2.25</v>
      </c>
      <c r="J60">
        <f t="shared" si="11"/>
        <v>2.25</v>
      </c>
      <c r="K60">
        <f t="shared" si="11"/>
        <v>2.25</v>
      </c>
      <c r="L60">
        <f t="shared" si="11"/>
        <v>2.25</v>
      </c>
      <c r="M60">
        <f t="shared" si="4"/>
        <v>102.25</v>
      </c>
      <c r="P60">
        <f t="shared" si="5"/>
        <v>0.71250000000000002</v>
      </c>
      <c r="Q60">
        <v>0.42499999999999999</v>
      </c>
      <c r="R60">
        <f t="shared" si="7"/>
        <v>98.273919807838752</v>
      </c>
      <c r="S60">
        <f t="shared" si="8"/>
        <v>0.95624999999999993</v>
      </c>
      <c r="T60">
        <f t="shared" si="1"/>
        <v>99.230169807838749</v>
      </c>
      <c r="U60">
        <f t="shared" si="13"/>
        <v>0</v>
      </c>
      <c r="V60">
        <f t="shared" si="13"/>
        <v>0.98604036091014291</v>
      </c>
      <c r="W60">
        <f t="shared" si="13"/>
        <v>0.96222528510382321</v>
      </c>
      <c r="X60">
        <f t="shared" si="13"/>
        <v>0.93898539653947122</v>
      </c>
      <c r="Y60">
        <f t="shared" si="13"/>
        <v>0.9163068031612307</v>
      </c>
      <c r="Z60">
        <f t="shared" si="13"/>
        <v>0.89417594843740489</v>
      </c>
      <c r="AA60">
        <f t="shared" si="13"/>
        <v>0.87257960325679917</v>
      </c>
      <c r="AB60">
        <f t="shared" si="13"/>
        <v>0.85150485802078468</v>
      </c>
      <c r="AC60">
        <f t="shared" si="13"/>
        <v>0.8309391149263573</v>
      </c>
      <c r="AD60">
        <f t="shared" si="13"/>
        <v>0.81087008043557673</v>
      </c>
    </row>
    <row r="61" spans="2:30">
      <c r="B61">
        <v>0.72499999999999998</v>
      </c>
      <c r="D61">
        <f t="shared" si="12"/>
        <v>0</v>
      </c>
      <c r="E61">
        <f t="shared" si="11"/>
        <v>2.25</v>
      </c>
      <c r="F61">
        <f t="shared" si="11"/>
        <v>2.25</v>
      </c>
      <c r="G61">
        <f t="shared" si="11"/>
        <v>2.25</v>
      </c>
      <c r="H61">
        <f t="shared" si="11"/>
        <v>2.25</v>
      </c>
      <c r="I61">
        <f t="shared" si="11"/>
        <v>2.25</v>
      </c>
      <c r="J61">
        <f t="shared" si="11"/>
        <v>2.25</v>
      </c>
      <c r="K61">
        <f t="shared" si="11"/>
        <v>2.25</v>
      </c>
      <c r="L61">
        <f t="shared" si="11"/>
        <v>2.25</v>
      </c>
      <c r="M61">
        <f t="shared" si="4"/>
        <v>102.25</v>
      </c>
      <c r="P61">
        <f t="shared" si="5"/>
        <v>0.72499999999999998</v>
      </c>
      <c r="Q61">
        <v>0.45</v>
      </c>
      <c r="R61">
        <f t="shared" si="7"/>
        <v>98.278339514825888</v>
      </c>
      <c r="S61">
        <f t="shared" si="8"/>
        <v>1.0125</v>
      </c>
      <c r="T61">
        <f t="shared" si="1"/>
        <v>99.29083951482589</v>
      </c>
      <c r="U61">
        <f t="shared" si="13"/>
        <v>0</v>
      </c>
      <c r="V61">
        <f t="shared" si="13"/>
        <v>0.98664322977441832</v>
      </c>
      <c r="W61">
        <f t="shared" si="13"/>
        <v>0.96281359333927141</v>
      </c>
      <c r="X61">
        <f t="shared" si="13"/>
        <v>0.93955949581778131</v>
      </c>
      <c r="Y61">
        <f t="shared" si="13"/>
        <v>0.91686703666043545</v>
      </c>
      <c r="Z61">
        <f t="shared" si="13"/>
        <v>0.89472265104702164</v>
      </c>
      <c r="AA61">
        <f t="shared" si="13"/>
        <v>0.87311310177801571</v>
      </c>
      <c r="AB61">
        <f t="shared" si="13"/>
        <v>0.85202547136181084</v>
      </c>
      <c r="AC61">
        <f t="shared" si="13"/>
        <v>0.8314471542930576</v>
      </c>
      <c r="AD61">
        <f t="shared" si="13"/>
        <v>0.81136584951749935</v>
      </c>
    </row>
    <row r="62" spans="2:30">
      <c r="B62">
        <v>0.73750000000000004</v>
      </c>
      <c r="D62">
        <f t="shared" si="12"/>
        <v>0</v>
      </c>
      <c r="E62">
        <f t="shared" si="11"/>
        <v>2.25</v>
      </c>
      <c r="F62">
        <f t="shared" si="11"/>
        <v>2.25</v>
      </c>
      <c r="G62">
        <f t="shared" si="11"/>
        <v>2.25</v>
      </c>
      <c r="H62">
        <f t="shared" si="11"/>
        <v>2.25</v>
      </c>
      <c r="I62">
        <f t="shared" si="11"/>
        <v>2.25</v>
      </c>
      <c r="J62">
        <f t="shared" si="11"/>
        <v>2.25</v>
      </c>
      <c r="K62">
        <f t="shared" si="11"/>
        <v>2.25</v>
      </c>
      <c r="L62">
        <f t="shared" si="11"/>
        <v>2.25</v>
      </c>
      <c r="M62">
        <f t="shared" si="4"/>
        <v>102.25</v>
      </c>
      <c r="P62">
        <f t="shared" si="5"/>
        <v>0.73750000000000004</v>
      </c>
      <c r="Q62">
        <v>0.47499999999999998</v>
      </c>
      <c r="R62">
        <f t="shared" si="7"/>
        <v>98.282796315504939</v>
      </c>
      <c r="S62">
        <f t="shared" si="8"/>
        <v>1.0687499999999999</v>
      </c>
      <c r="T62">
        <f t="shared" si="1"/>
        <v>99.351546315504933</v>
      </c>
      <c r="U62">
        <f t="shared" si="13"/>
        <v>0</v>
      </c>
      <c r="V62">
        <f t="shared" si="13"/>
        <v>0.98724646723503318</v>
      </c>
      <c r="W62">
        <f t="shared" si="13"/>
        <v>0.96340226126863449</v>
      </c>
      <c r="X62">
        <f t="shared" si="13"/>
        <v>0.94013394610259526</v>
      </c>
      <c r="Y62">
        <f t="shared" si="13"/>
        <v>0.91742761268855355</v>
      </c>
      <c r="Z62">
        <f t="shared" si="13"/>
        <v>0.89526968791271377</v>
      </c>
      <c r="AA62">
        <f t="shared" si="13"/>
        <v>0.87364692648227726</v>
      </c>
      <c r="AB62">
        <f t="shared" si="13"/>
        <v>0.85254640300783335</v>
      </c>
      <c r="AC62">
        <f t="shared" si="13"/>
        <v>0.83195550427697817</v>
      </c>
      <c r="AD62">
        <f t="shared" si="13"/>
        <v>0.81186192171454319</v>
      </c>
    </row>
    <row r="63" spans="2:30">
      <c r="B63">
        <v>0.75</v>
      </c>
      <c r="D63">
        <f t="shared" si="12"/>
        <v>0</v>
      </c>
      <c r="E63">
        <f t="shared" si="11"/>
        <v>2.25</v>
      </c>
      <c r="F63">
        <f t="shared" si="11"/>
        <v>2.25</v>
      </c>
      <c r="G63">
        <f t="shared" si="11"/>
        <v>2.25</v>
      </c>
      <c r="H63">
        <f t="shared" si="11"/>
        <v>2.25</v>
      </c>
      <c r="I63">
        <f t="shared" si="11"/>
        <v>2.25</v>
      </c>
      <c r="J63">
        <f t="shared" si="11"/>
        <v>2.25</v>
      </c>
      <c r="K63">
        <f t="shared" si="11"/>
        <v>2.25</v>
      </c>
      <c r="L63">
        <f t="shared" si="11"/>
        <v>2.25</v>
      </c>
      <c r="M63">
        <f t="shared" si="4"/>
        <v>102.25</v>
      </c>
      <c r="P63">
        <f t="shared" si="5"/>
        <v>0.75</v>
      </c>
      <c r="Q63">
        <v>0.5</v>
      </c>
      <c r="R63">
        <f t="shared" si="7"/>
        <v>98.287290232555108</v>
      </c>
      <c r="S63">
        <f t="shared" si="8"/>
        <v>1.125</v>
      </c>
      <c r="T63">
        <f t="shared" si="1"/>
        <v>99.412290232555108</v>
      </c>
      <c r="U63">
        <f t="shared" si="13"/>
        <v>0</v>
      </c>
      <c r="V63">
        <f t="shared" si="13"/>
        <v>0.98785007351734877</v>
      </c>
      <c r="W63">
        <f t="shared" si="13"/>
        <v>0.96399128911183096</v>
      </c>
      <c r="X63">
        <f t="shared" si="13"/>
        <v>0.94070874760851986</v>
      </c>
      <c r="Y63">
        <f t="shared" si="13"/>
        <v>0.91798853145500836</v>
      </c>
      <c r="Z63">
        <f t="shared" si="13"/>
        <v>0.89581705923884691</v>
      </c>
      <c r="AA63">
        <f t="shared" si="13"/>
        <v>0.87418107756901375</v>
      </c>
      <c r="AB63">
        <f t="shared" si="13"/>
        <v>0.85306765315346555</v>
      </c>
      <c r="AC63">
        <f t="shared" si="13"/>
        <v>0.83246416506803156</v>
      </c>
      <c r="AD63">
        <f t="shared" si="13"/>
        <v>0.81235829721203379</v>
      </c>
    </row>
    <row r="64" spans="2:30">
      <c r="B64">
        <v>0.76249999999999996</v>
      </c>
      <c r="D64">
        <f t="shared" si="12"/>
        <v>0</v>
      </c>
      <c r="E64">
        <f t="shared" si="11"/>
        <v>2.25</v>
      </c>
      <c r="F64">
        <f t="shared" si="11"/>
        <v>2.25</v>
      </c>
      <c r="G64">
        <f t="shared" si="11"/>
        <v>2.25</v>
      </c>
      <c r="H64">
        <f t="shared" si="11"/>
        <v>2.25</v>
      </c>
      <c r="I64">
        <f t="shared" si="11"/>
        <v>2.25</v>
      </c>
      <c r="J64">
        <f t="shared" si="11"/>
        <v>2.25</v>
      </c>
      <c r="K64">
        <f t="shared" si="11"/>
        <v>2.25</v>
      </c>
      <c r="L64">
        <f t="shared" si="11"/>
        <v>2.25</v>
      </c>
      <c r="M64">
        <f t="shared" si="4"/>
        <v>102.25</v>
      </c>
      <c r="P64">
        <f t="shared" si="5"/>
        <v>0.76249999999999996</v>
      </c>
      <c r="Q64">
        <v>0.52500000000000002</v>
      </c>
      <c r="R64">
        <f t="shared" si="7"/>
        <v>98.291821288669468</v>
      </c>
      <c r="S64">
        <f t="shared" si="8"/>
        <v>1.1812500000000001</v>
      </c>
      <c r="T64">
        <f t="shared" si="1"/>
        <v>99.473071288669473</v>
      </c>
      <c r="U64">
        <f t="shared" si="13"/>
        <v>0</v>
      </c>
      <c r="V64">
        <f t="shared" si="13"/>
        <v>0.98845404884686383</v>
      </c>
      <c r="W64">
        <f t="shared" si="13"/>
        <v>0.96458067708891304</v>
      </c>
      <c r="X64">
        <f t="shared" si="13"/>
        <v>0.94128390055029321</v>
      </c>
      <c r="Y64">
        <f t="shared" si="13"/>
        <v>0.91854979316935181</v>
      </c>
      <c r="Z64">
        <f t="shared" si="13"/>
        <v>0.89636476522991149</v>
      </c>
      <c r="AA64">
        <f t="shared" si="13"/>
        <v>0.87471555523777633</v>
      </c>
      <c r="AB64">
        <f t="shared" si="13"/>
        <v>0.85358922199343878</v>
      </c>
      <c r="AC64">
        <f t="shared" si="13"/>
        <v>0.83297313685624663</v>
      </c>
      <c r="AD64">
        <f t="shared" si="13"/>
        <v>0.81285497619541025</v>
      </c>
    </row>
    <row r="65" spans="2:30">
      <c r="B65">
        <v>0.77500000000000002</v>
      </c>
      <c r="D65">
        <f t="shared" si="12"/>
        <v>0</v>
      </c>
      <c r="E65">
        <f t="shared" si="11"/>
        <v>2.25</v>
      </c>
      <c r="F65">
        <f t="shared" si="11"/>
        <v>2.25</v>
      </c>
      <c r="G65">
        <f t="shared" si="11"/>
        <v>2.25</v>
      </c>
      <c r="H65">
        <f t="shared" si="11"/>
        <v>2.25</v>
      </c>
      <c r="I65">
        <f t="shared" si="11"/>
        <v>2.25</v>
      </c>
      <c r="J65">
        <f t="shared" si="11"/>
        <v>2.25</v>
      </c>
      <c r="K65">
        <f t="shared" si="11"/>
        <v>2.25</v>
      </c>
      <c r="L65">
        <f t="shared" si="11"/>
        <v>2.25</v>
      </c>
      <c r="M65">
        <f t="shared" si="4"/>
        <v>102.25</v>
      </c>
      <c r="P65">
        <f t="shared" si="5"/>
        <v>0.77500000000000002</v>
      </c>
      <c r="Q65">
        <v>0.55000000000000004</v>
      </c>
      <c r="R65">
        <f t="shared" si="7"/>
        <v>98.296389506555045</v>
      </c>
      <c r="S65">
        <f t="shared" si="8"/>
        <v>1.2375</v>
      </c>
      <c r="T65">
        <f t="shared" si="1"/>
        <v>99.533889506555042</v>
      </c>
      <c r="U65">
        <f t="shared" si="13"/>
        <v>0</v>
      </c>
      <c r="V65">
        <f t="shared" si="13"/>
        <v>0.98905839344921531</v>
      </c>
      <c r="W65">
        <f t="shared" si="13"/>
        <v>0.96517042542006859</v>
      </c>
      <c r="X65">
        <f t="shared" si="13"/>
        <v>0.94185940514278454</v>
      </c>
      <c r="Y65">
        <f t="shared" si="13"/>
        <v>0.91911139804126329</v>
      </c>
      <c r="Z65">
        <f t="shared" si="13"/>
        <v>0.89691280609052282</v>
      </c>
      <c r="AA65">
        <f t="shared" si="13"/>
        <v>0.87525035968823883</v>
      </c>
      <c r="AB65">
        <f t="shared" si="13"/>
        <v>0.8541111097226044</v>
      </c>
      <c r="AC65">
        <f t="shared" si="13"/>
        <v>0.83348241983176796</v>
      </c>
      <c r="AD65">
        <f t="shared" si="13"/>
        <v>0.81335195885022482</v>
      </c>
    </row>
    <row r="66" spans="2:30">
      <c r="B66">
        <v>0.78749999999999998</v>
      </c>
      <c r="D66">
        <f t="shared" si="12"/>
        <v>0</v>
      </c>
      <c r="E66">
        <f t="shared" si="11"/>
        <v>2.25</v>
      </c>
      <c r="F66">
        <f t="shared" si="11"/>
        <v>2.25</v>
      </c>
      <c r="G66">
        <f t="shared" si="11"/>
        <v>2.25</v>
      </c>
      <c r="H66">
        <f t="shared" si="11"/>
        <v>2.25</v>
      </c>
      <c r="I66">
        <f t="shared" si="11"/>
        <v>2.25</v>
      </c>
      <c r="J66">
        <f t="shared" si="11"/>
        <v>2.25</v>
      </c>
      <c r="K66">
        <f t="shared" si="11"/>
        <v>2.25</v>
      </c>
      <c r="L66">
        <f t="shared" si="11"/>
        <v>2.25</v>
      </c>
      <c r="M66">
        <f t="shared" si="4"/>
        <v>102.25</v>
      </c>
      <c r="P66">
        <f t="shared" si="5"/>
        <v>0.78749999999999998</v>
      </c>
      <c r="Q66">
        <v>0.57499999999999996</v>
      </c>
      <c r="R66">
        <f t="shared" si="7"/>
        <v>98.300994908932637</v>
      </c>
      <c r="S66">
        <f t="shared" si="8"/>
        <v>1.29375</v>
      </c>
      <c r="T66">
        <f t="shared" si="1"/>
        <v>99.59474490893264</v>
      </c>
      <c r="U66">
        <f t="shared" si="13"/>
        <v>0</v>
      </c>
      <c r="V66">
        <f t="shared" si="13"/>
        <v>0.98966310755017817</v>
      </c>
      <c r="W66">
        <f t="shared" si="13"/>
        <v>0.96576053432561904</v>
      </c>
      <c r="X66">
        <f t="shared" si="13"/>
        <v>0.94243526160099433</v>
      </c>
      <c r="Y66">
        <f t="shared" si="13"/>
        <v>0.91967334628055075</v>
      </c>
      <c r="Z66">
        <f t="shared" si="13"/>
        <v>0.89746118202542147</v>
      </c>
      <c r="AA66">
        <f t="shared" si="13"/>
        <v>0.87578549112019655</v>
      </c>
      <c r="AB66">
        <f t="shared" si="13"/>
        <v>0.85463331653593222</v>
      </c>
      <c r="AC66">
        <f t="shared" si="13"/>
        <v>0.83399201418485691</v>
      </c>
      <c r="AD66">
        <f t="shared" si="13"/>
        <v>0.81384924536214376</v>
      </c>
    </row>
    <row r="67" spans="2:30">
      <c r="B67">
        <v>0.8</v>
      </c>
      <c r="D67">
        <f t="shared" si="12"/>
        <v>0</v>
      </c>
      <c r="E67">
        <f t="shared" si="11"/>
        <v>2.25</v>
      </c>
      <c r="F67">
        <f t="shared" si="11"/>
        <v>2.25</v>
      </c>
      <c r="G67">
        <f t="shared" si="11"/>
        <v>2.25</v>
      </c>
      <c r="H67">
        <f t="shared" si="11"/>
        <v>2.25</v>
      </c>
      <c r="I67">
        <f t="shared" si="11"/>
        <v>2.25</v>
      </c>
      <c r="J67">
        <f t="shared" si="11"/>
        <v>2.25</v>
      </c>
      <c r="K67">
        <f t="shared" si="11"/>
        <v>2.25</v>
      </c>
      <c r="L67">
        <f t="shared" si="11"/>
        <v>2.25</v>
      </c>
      <c r="M67">
        <f t="shared" si="4"/>
        <v>102.25</v>
      </c>
      <c r="P67">
        <f t="shared" si="5"/>
        <v>0.8</v>
      </c>
      <c r="Q67">
        <v>0.6</v>
      </c>
      <c r="R67">
        <f t="shared" si="7"/>
        <v>98.305637518537026</v>
      </c>
      <c r="S67">
        <f t="shared" si="8"/>
        <v>1.3499999999999999</v>
      </c>
      <c r="T67">
        <f t="shared" ref="T67:T130" si="14">SUMPRODUCT(U67:AD67,D67:M67)</f>
        <v>99.65563751853702</v>
      </c>
      <c r="U67">
        <f t="shared" ref="U67:AD82" si="15">IF((1/(1+$O$3/2)^((U$2-$P67)*2))&lt;=1,1/(1+$O$3/2)^((U$2-$P67)*2),0)</f>
        <v>0</v>
      </c>
      <c r="V67">
        <f t="shared" si="15"/>
        <v>0.99026819137566513</v>
      </c>
      <c r="W67">
        <f t="shared" si="15"/>
        <v>0.96635100402602103</v>
      </c>
      <c r="X67">
        <f t="shared" si="15"/>
        <v>0.94301147014005482</v>
      </c>
      <c r="Y67">
        <f t="shared" si="15"/>
        <v>0.92023563809715014</v>
      </c>
      <c r="Z67">
        <f t="shared" si="15"/>
        <v>0.89800989323947311</v>
      </c>
      <c r="AA67">
        <f t="shared" si="15"/>
        <v>0.87632094973356733</v>
      </c>
      <c r="AB67">
        <f t="shared" si="15"/>
        <v>0.85515584262851163</v>
      </c>
      <c r="AC67">
        <f t="shared" si="15"/>
        <v>0.83450192010589075</v>
      </c>
      <c r="AD67">
        <f t="shared" si="15"/>
        <v>0.81434683591694634</v>
      </c>
    </row>
    <row r="68" spans="2:30">
      <c r="B68">
        <v>0.8125</v>
      </c>
      <c r="D68">
        <f t="shared" si="12"/>
        <v>0</v>
      </c>
      <c r="E68">
        <f t="shared" si="11"/>
        <v>2.25</v>
      </c>
      <c r="F68">
        <f t="shared" si="11"/>
        <v>2.25</v>
      </c>
      <c r="G68">
        <f t="shared" si="11"/>
        <v>2.25</v>
      </c>
      <c r="H68">
        <f t="shared" si="11"/>
        <v>2.25</v>
      </c>
      <c r="I68">
        <f t="shared" si="11"/>
        <v>2.25</v>
      </c>
      <c r="J68">
        <f t="shared" si="11"/>
        <v>2.25</v>
      </c>
      <c r="K68">
        <f t="shared" si="11"/>
        <v>2.25</v>
      </c>
      <c r="L68">
        <f t="shared" si="11"/>
        <v>2.25</v>
      </c>
      <c r="M68">
        <f t="shared" ref="M68:M131" si="16">IF($B68&lt;=M$2,100*$D$1/2,0)+100</f>
        <v>102.25</v>
      </c>
      <c r="P68">
        <f t="shared" ref="P68:P131" si="17">B68</f>
        <v>0.8125</v>
      </c>
      <c r="Q68">
        <v>0.625</v>
      </c>
      <c r="R68">
        <f t="shared" ref="R68:R131" si="18">T68-S68</f>
        <v>98.310317358116791</v>
      </c>
      <c r="S68">
        <f t="shared" si="8"/>
        <v>1.40625</v>
      </c>
      <c r="T68">
        <f t="shared" si="14"/>
        <v>99.716567358116791</v>
      </c>
      <c r="U68">
        <f t="shared" si="15"/>
        <v>0</v>
      </c>
      <c r="V68">
        <f t="shared" si="15"/>
        <v>0.99087364515172727</v>
      </c>
      <c r="W68">
        <f t="shared" si="15"/>
        <v>0.96694183474186624</v>
      </c>
      <c r="X68">
        <f t="shared" si="15"/>
        <v>0.94358803097522914</v>
      </c>
      <c r="Y68">
        <f t="shared" si="15"/>
        <v>0.92079827370112621</v>
      </c>
      <c r="Z68">
        <f t="shared" si="15"/>
        <v>0.89855893993766889</v>
      </c>
      <c r="AA68">
        <f t="shared" si="15"/>
        <v>0.87685673572839107</v>
      </c>
      <c r="AB68">
        <f t="shared" si="15"/>
        <v>0.85567868819555115</v>
      </c>
      <c r="AC68">
        <f t="shared" si="15"/>
        <v>0.83501213778536343</v>
      </c>
      <c r="AD68">
        <f t="shared" si="15"/>
        <v>0.81484473070052532</v>
      </c>
    </row>
    <row r="69" spans="2:30">
      <c r="B69">
        <v>0.82499999999999996</v>
      </c>
      <c r="D69">
        <f t="shared" si="12"/>
        <v>0</v>
      </c>
      <c r="E69">
        <f t="shared" si="11"/>
        <v>2.25</v>
      </c>
      <c r="F69">
        <f t="shared" si="11"/>
        <v>2.25</v>
      </c>
      <c r="G69">
        <f t="shared" si="11"/>
        <v>2.25</v>
      </c>
      <c r="H69">
        <f t="shared" si="11"/>
        <v>2.25</v>
      </c>
      <c r="I69">
        <f t="shared" si="11"/>
        <v>2.25</v>
      </c>
      <c r="J69">
        <f t="shared" si="11"/>
        <v>2.25</v>
      </c>
      <c r="K69">
        <f t="shared" si="11"/>
        <v>2.25</v>
      </c>
      <c r="L69">
        <f t="shared" si="11"/>
        <v>2.25</v>
      </c>
      <c r="M69">
        <f t="shared" si="16"/>
        <v>102.25</v>
      </c>
      <c r="P69">
        <f t="shared" si="17"/>
        <v>0.82499999999999996</v>
      </c>
      <c r="Q69">
        <v>0.65</v>
      </c>
      <c r="R69">
        <f t="shared" si="18"/>
        <v>98.315034450434553</v>
      </c>
      <c r="S69">
        <f t="shared" ref="S69:S132" si="19">(100*$D$1/2)*Q69</f>
        <v>1.4625000000000001</v>
      </c>
      <c r="T69">
        <f t="shared" si="14"/>
        <v>99.777534450434558</v>
      </c>
      <c r="U69">
        <f t="shared" si="15"/>
        <v>0</v>
      </c>
      <c r="V69">
        <f t="shared" si="15"/>
        <v>0.99147946910455398</v>
      </c>
      <c r="W69">
        <f t="shared" si="15"/>
        <v>0.96753302669388042</v>
      </c>
      <c r="X69">
        <f t="shared" si="15"/>
        <v>0.94416494432191289</v>
      </c>
      <c r="Y69">
        <f t="shared" si="15"/>
        <v>0.92136125330267171</v>
      </c>
      <c r="Z69">
        <f t="shared" si="15"/>
        <v>0.89910832232512494</v>
      </c>
      <c r="AA69">
        <f t="shared" si="15"/>
        <v>0.8773928493048303</v>
      </c>
      <c r="AB69">
        <f t="shared" si="15"/>
        <v>0.85620185343237887</v>
      </c>
      <c r="AC69">
        <f t="shared" si="15"/>
        <v>0.83552266741388515</v>
      </c>
      <c r="AD69">
        <f t="shared" si="15"/>
        <v>0.81534292989888768</v>
      </c>
    </row>
    <row r="70" spans="2:30">
      <c r="B70">
        <v>0.83750000000000002</v>
      </c>
      <c r="D70">
        <f t="shared" si="12"/>
        <v>0</v>
      </c>
      <c r="E70">
        <f t="shared" si="11"/>
        <v>2.25</v>
      </c>
      <c r="F70">
        <f t="shared" si="11"/>
        <v>2.25</v>
      </c>
      <c r="G70">
        <f t="shared" si="11"/>
        <v>2.25</v>
      </c>
      <c r="H70">
        <f t="shared" si="11"/>
        <v>2.25</v>
      </c>
      <c r="I70">
        <f t="shared" si="11"/>
        <v>2.25</v>
      </c>
      <c r="J70">
        <f t="shared" si="11"/>
        <v>2.25</v>
      </c>
      <c r="K70">
        <f t="shared" si="11"/>
        <v>2.25</v>
      </c>
      <c r="L70">
        <f t="shared" si="11"/>
        <v>2.25</v>
      </c>
      <c r="M70">
        <f t="shared" si="16"/>
        <v>102.25</v>
      </c>
      <c r="P70">
        <f t="shared" si="17"/>
        <v>0.83750000000000002</v>
      </c>
      <c r="Q70">
        <v>0.67500000000000004</v>
      </c>
      <c r="R70">
        <f t="shared" si="18"/>
        <v>98.31978881826673</v>
      </c>
      <c r="S70">
        <f t="shared" si="19"/>
        <v>1.51875</v>
      </c>
      <c r="T70">
        <f t="shared" si="14"/>
        <v>99.838538818266727</v>
      </c>
      <c r="U70">
        <f t="shared" si="15"/>
        <v>0</v>
      </c>
      <c r="V70">
        <f t="shared" si="15"/>
        <v>0.99208566346047244</v>
      </c>
      <c r="W70">
        <f t="shared" si="15"/>
        <v>0.9681245801029249</v>
      </c>
      <c r="X70">
        <f t="shared" si="15"/>
        <v>0.94474221039563289</v>
      </c>
      <c r="Y70">
        <f t="shared" si="15"/>
        <v>0.92192457711210829</v>
      </c>
      <c r="Z70">
        <f t="shared" si="15"/>
        <v>0.89965804060708299</v>
      </c>
      <c r="AA70">
        <f t="shared" si="15"/>
        <v>0.87792929066316927</v>
      </c>
      <c r="AB70">
        <f t="shared" si="15"/>
        <v>0.85672533853444188</v>
      </c>
      <c r="AC70">
        <f t="shared" si="15"/>
        <v>0.83603350918218289</v>
      </c>
      <c r="AD70">
        <f t="shared" si="15"/>
        <v>0.81584143369815354</v>
      </c>
    </row>
    <row r="71" spans="2:30">
      <c r="B71">
        <v>0.85</v>
      </c>
      <c r="D71">
        <f t="shared" si="12"/>
        <v>0</v>
      </c>
      <c r="E71">
        <f t="shared" si="11"/>
        <v>2.25</v>
      </c>
      <c r="F71">
        <f t="shared" si="11"/>
        <v>2.25</v>
      </c>
      <c r="G71">
        <f t="shared" si="11"/>
        <v>2.25</v>
      </c>
      <c r="H71">
        <f t="shared" si="11"/>
        <v>2.25</v>
      </c>
      <c r="I71">
        <f t="shared" si="11"/>
        <v>2.25</v>
      </c>
      <c r="J71">
        <f t="shared" si="11"/>
        <v>2.25</v>
      </c>
      <c r="K71">
        <f t="shared" si="11"/>
        <v>2.25</v>
      </c>
      <c r="L71">
        <f t="shared" si="11"/>
        <v>2.25</v>
      </c>
      <c r="M71">
        <f t="shared" si="16"/>
        <v>102.25</v>
      </c>
      <c r="P71">
        <f t="shared" si="17"/>
        <v>0.85</v>
      </c>
      <c r="Q71">
        <v>0.7</v>
      </c>
      <c r="R71">
        <f t="shared" si="18"/>
        <v>98.324580484403739</v>
      </c>
      <c r="S71">
        <f t="shared" si="19"/>
        <v>1.575</v>
      </c>
      <c r="T71">
        <f t="shared" si="14"/>
        <v>99.899580484403742</v>
      </c>
      <c r="U71">
        <f t="shared" si="15"/>
        <v>0</v>
      </c>
      <c r="V71">
        <f t="shared" si="15"/>
        <v>0.99269222844594862</v>
      </c>
      <c r="W71">
        <f t="shared" si="15"/>
        <v>0.96871649518999625</v>
      </c>
      <c r="X71">
        <f t="shared" si="15"/>
        <v>0.94531982941204795</v>
      </c>
      <c r="Y71">
        <f t="shared" si="15"/>
        <v>0.9224882453398856</v>
      </c>
      <c r="Z71">
        <f t="shared" si="15"/>
        <v>0.90020809498891008</v>
      </c>
      <c r="AA71">
        <f t="shared" si="15"/>
        <v>0.87846606000381566</v>
      </c>
      <c r="AB71">
        <f t="shared" si="15"/>
        <v>0.8572491436973072</v>
      </c>
      <c r="AC71">
        <f t="shared" si="15"/>
        <v>0.83654466328109989</v>
      </c>
      <c r="AD71">
        <f t="shared" si="15"/>
        <v>0.81634024228455715</v>
      </c>
    </row>
    <row r="72" spans="2:30">
      <c r="B72">
        <v>0.86250000000000004</v>
      </c>
      <c r="D72">
        <f t="shared" si="12"/>
        <v>0</v>
      </c>
      <c r="E72">
        <f t="shared" si="11"/>
        <v>2.25</v>
      </c>
      <c r="F72">
        <f t="shared" si="11"/>
        <v>2.25</v>
      </c>
      <c r="G72">
        <f t="shared" si="11"/>
        <v>2.25</v>
      </c>
      <c r="H72">
        <f t="shared" si="11"/>
        <v>2.25</v>
      </c>
      <c r="I72">
        <f t="shared" si="11"/>
        <v>2.25</v>
      </c>
      <c r="J72">
        <f t="shared" si="11"/>
        <v>2.25</v>
      </c>
      <c r="K72">
        <f t="shared" si="11"/>
        <v>2.25</v>
      </c>
      <c r="L72">
        <f t="shared" si="11"/>
        <v>2.25</v>
      </c>
      <c r="M72">
        <f t="shared" si="16"/>
        <v>102.25</v>
      </c>
      <c r="P72">
        <f t="shared" si="17"/>
        <v>0.86250000000000004</v>
      </c>
      <c r="Q72">
        <v>0.72499999999999998</v>
      </c>
      <c r="R72">
        <f t="shared" si="18"/>
        <v>98.329409471649896</v>
      </c>
      <c r="S72">
        <f t="shared" si="19"/>
        <v>1.6312499999999999</v>
      </c>
      <c r="T72">
        <f t="shared" si="14"/>
        <v>99.96065947164989</v>
      </c>
      <c r="U72">
        <f t="shared" si="15"/>
        <v>0</v>
      </c>
      <c r="V72">
        <f t="shared" si="15"/>
        <v>0.9932991642875868</v>
      </c>
      <c r="W72">
        <f t="shared" si="15"/>
        <v>0.96930877217622513</v>
      </c>
      <c r="X72">
        <f t="shared" si="15"/>
        <v>0.94589780158694814</v>
      </c>
      <c r="Y72">
        <f t="shared" si="15"/>
        <v>0.92305225819658276</v>
      </c>
      <c r="Z72">
        <f t="shared" si="15"/>
        <v>0.90075848567609917</v>
      </c>
      <c r="AA72">
        <f t="shared" si="15"/>
        <v>0.87900315752729852</v>
      </c>
      <c r="AB72">
        <f t="shared" si="15"/>
        <v>0.85777326911666107</v>
      </c>
      <c r="AC72">
        <f t="shared" si="15"/>
        <v>0.8370561299015965</v>
      </c>
      <c r="AD72">
        <f t="shared" si="15"/>
        <v>0.81683935584444645</v>
      </c>
    </row>
    <row r="73" spans="2:30">
      <c r="B73">
        <v>0.875</v>
      </c>
      <c r="D73">
        <f t="shared" si="12"/>
        <v>0</v>
      </c>
      <c r="E73">
        <f t="shared" si="11"/>
        <v>2.25</v>
      </c>
      <c r="F73">
        <f t="shared" si="11"/>
        <v>2.25</v>
      </c>
      <c r="G73">
        <f t="shared" si="11"/>
        <v>2.25</v>
      </c>
      <c r="H73">
        <f t="shared" si="11"/>
        <v>2.25</v>
      </c>
      <c r="I73">
        <f t="shared" si="11"/>
        <v>2.25</v>
      </c>
      <c r="J73">
        <f t="shared" si="11"/>
        <v>2.25</v>
      </c>
      <c r="K73">
        <f t="shared" si="11"/>
        <v>2.25</v>
      </c>
      <c r="L73">
        <f t="shared" si="11"/>
        <v>2.25</v>
      </c>
      <c r="M73">
        <f t="shared" si="16"/>
        <v>102.25</v>
      </c>
      <c r="P73">
        <f t="shared" si="17"/>
        <v>0.875</v>
      </c>
      <c r="Q73">
        <v>0.75</v>
      </c>
      <c r="R73">
        <f t="shared" si="18"/>
        <v>98.33427580282347</v>
      </c>
      <c r="S73">
        <f t="shared" si="19"/>
        <v>1.6875</v>
      </c>
      <c r="T73">
        <f t="shared" si="14"/>
        <v>100.02177580282347</v>
      </c>
      <c r="U73">
        <f t="shared" si="15"/>
        <v>0</v>
      </c>
      <c r="V73">
        <f t="shared" si="15"/>
        <v>0.99390647121212994</v>
      </c>
      <c r="W73">
        <f t="shared" si="15"/>
        <v>0.96990141128287866</v>
      </c>
      <c r="X73">
        <f t="shared" si="15"/>
        <v>0.94647612713625628</v>
      </c>
      <c r="Y73">
        <f t="shared" si="15"/>
        <v>0.92361661589290689</v>
      </c>
      <c r="Z73">
        <f t="shared" si="15"/>
        <v>0.90130921287426868</v>
      </c>
      <c r="AA73">
        <f t="shared" si="15"/>
        <v>0.87954058343427033</v>
      </c>
      <c r="AB73">
        <f t="shared" si="15"/>
        <v>0.85829771498830976</v>
      </c>
      <c r="AC73">
        <f t="shared" si="15"/>
        <v>0.83756790923474955</v>
      </c>
      <c r="AD73">
        <f t="shared" si="15"/>
        <v>0.8173387745642835</v>
      </c>
    </row>
    <row r="74" spans="2:30">
      <c r="B74">
        <v>0.88749999999999996</v>
      </c>
      <c r="D74">
        <f t="shared" si="12"/>
        <v>0</v>
      </c>
      <c r="E74">
        <f t="shared" si="11"/>
        <v>2.25</v>
      </c>
      <c r="F74">
        <f t="shared" si="11"/>
        <v>2.25</v>
      </c>
      <c r="G74">
        <f t="shared" si="11"/>
        <v>2.25</v>
      </c>
      <c r="H74">
        <f t="shared" si="11"/>
        <v>2.25</v>
      </c>
      <c r="I74">
        <f t="shared" si="11"/>
        <v>2.25</v>
      </c>
      <c r="J74">
        <f t="shared" si="11"/>
        <v>2.25</v>
      </c>
      <c r="K74">
        <f t="shared" si="11"/>
        <v>2.25</v>
      </c>
      <c r="L74">
        <f t="shared" si="11"/>
        <v>2.25</v>
      </c>
      <c r="M74">
        <f t="shared" si="16"/>
        <v>102.25</v>
      </c>
      <c r="P74">
        <f t="shared" si="17"/>
        <v>0.88749999999999996</v>
      </c>
      <c r="Q74">
        <v>0.77500000000000002</v>
      </c>
      <c r="R74">
        <f t="shared" si="18"/>
        <v>98.3391795007567</v>
      </c>
      <c r="S74">
        <f t="shared" si="19"/>
        <v>1.7437500000000001</v>
      </c>
      <c r="T74">
        <f t="shared" si="14"/>
        <v>100.08292950075671</v>
      </c>
      <c r="U74">
        <f t="shared" si="15"/>
        <v>0</v>
      </c>
      <c r="V74">
        <f t="shared" si="15"/>
        <v>0.99451414944645966</v>
      </c>
      <c r="W74">
        <f t="shared" si="15"/>
        <v>0.9704944127313585</v>
      </c>
      <c r="X74">
        <f t="shared" si="15"/>
        <v>0.94705480627602689</v>
      </c>
      <c r="Y74">
        <f t="shared" si="15"/>
        <v>0.92418131863969444</v>
      </c>
      <c r="Z74">
        <f t="shared" si="15"/>
        <v>0.90186027678916258</v>
      </c>
      <c r="AA74">
        <f t="shared" si="15"/>
        <v>0.88007833792550627</v>
      </c>
      <c r="AB74">
        <f t="shared" si="15"/>
        <v>0.85882248150817875</v>
      </c>
      <c r="AC74">
        <f t="shared" si="15"/>
        <v>0.83808000147175288</v>
      </c>
      <c r="AD74">
        <f t="shared" si="15"/>
        <v>0.81783849863064439</v>
      </c>
    </row>
    <row r="75" spans="2:30">
      <c r="B75">
        <v>0.9</v>
      </c>
      <c r="D75">
        <f t="shared" si="12"/>
        <v>0</v>
      </c>
      <c r="E75">
        <f t="shared" si="11"/>
        <v>2.25</v>
      </c>
      <c r="F75">
        <f t="shared" si="11"/>
        <v>2.25</v>
      </c>
      <c r="G75">
        <f t="shared" si="11"/>
        <v>2.25</v>
      </c>
      <c r="H75">
        <f t="shared" si="11"/>
        <v>2.25</v>
      </c>
      <c r="I75">
        <f t="shared" si="11"/>
        <v>2.25</v>
      </c>
      <c r="J75">
        <f t="shared" si="11"/>
        <v>2.25</v>
      </c>
      <c r="K75">
        <f t="shared" si="11"/>
        <v>2.25</v>
      </c>
      <c r="L75">
        <f t="shared" si="11"/>
        <v>2.25</v>
      </c>
      <c r="M75">
        <f t="shared" si="16"/>
        <v>102.25</v>
      </c>
      <c r="P75">
        <f t="shared" si="17"/>
        <v>0.9</v>
      </c>
      <c r="Q75">
        <v>0.8</v>
      </c>
      <c r="R75">
        <f t="shared" si="18"/>
        <v>98.344120588295752</v>
      </c>
      <c r="S75">
        <f t="shared" si="19"/>
        <v>1.8</v>
      </c>
      <c r="T75">
        <f t="shared" si="14"/>
        <v>100.14412058829575</v>
      </c>
      <c r="U75">
        <f t="shared" si="15"/>
        <v>0</v>
      </c>
      <c r="V75">
        <f t="shared" si="15"/>
        <v>0.99512219921759615</v>
      </c>
      <c r="W75">
        <f t="shared" si="15"/>
        <v>0.9710877767432019</v>
      </c>
      <c r="X75">
        <f t="shared" si="15"/>
        <v>0.94763383922244637</v>
      </c>
      <c r="Y75">
        <f t="shared" si="15"/>
        <v>0.92474636664791043</v>
      </c>
      <c r="Z75">
        <f t="shared" si="15"/>
        <v>0.90241167762665087</v>
      </c>
      <c r="AA75">
        <f t="shared" si="15"/>
        <v>0.88061642120190364</v>
      </c>
      <c r="AB75">
        <f t="shared" si="15"/>
        <v>0.85934756887231378</v>
      </c>
      <c r="AC75">
        <f t="shared" si="15"/>
        <v>0.83859240680391689</v>
      </c>
      <c r="AD75">
        <f t="shared" si="15"/>
        <v>0.81833852823021891</v>
      </c>
    </row>
    <row r="76" spans="2:30">
      <c r="B76">
        <v>0.91249999999999998</v>
      </c>
      <c r="D76">
        <f t="shared" si="12"/>
        <v>0</v>
      </c>
      <c r="E76">
        <f t="shared" si="11"/>
        <v>2.25</v>
      </c>
      <c r="F76">
        <f t="shared" si="11"/>
        <v>2.25</v>
      </c>
      <c r="G76">
        <f t="shared" si="11"/>
        <v>2.25</v>
      </c>
      <c r="H76">
        <f t="shared" si="11"/>
        <v>2.25</v>
      </c>
      <c r="I76">
        <f t="shared" si="11"/>
        <v>2.25</v>
      </c>
      <c r="J76">
        <f t="shared" si="11"/>
        <v>2.25</v>
      </c>
      <c r="K76">
        <f t="shared" si="11"/>
        <v>2.25</v>
      </c>
      <c r="L76">
        <f t="shared" si="11"/>
        <v>2.25</v>
      </c>
      <c r="M76">
        <f t="shared" si="16"/>
        <v>102.25</v>
      </c>
      <c r="P76">
        <f t="shared" si="17"/>
        <v>0.91249999999999998</v>
      </c>
      <c r="Q76">
        <v>0.82499999999999996</v>
      </c>
      <c r="R76">
        <f t="shared" si="18"/>
        <v>98.349099088300747</v>
      </c>
      <c r="S76">
        <f t="shared" si="19"/>
        <v>1.85625</v>
      </c>
      <c r="T76">
        <f t="shared" si="14"/>
        <v>100.20534908830075</v>
      </c>
      <c r="U76">
        <f t="shared" si="15"/>
        <v>0</v>
      </c>
      <c r="V76">
        <f t="shared" si="15"/>
        <v>0.99573062075269825</v>
      </c>
      <c r="W76">
        <f t="shared" si="15"/>
        <v>0.97168150354008131</v>
      </c>
      <c r="X76">
        <f t="shared" si="15"/>
        <v>0.94821322619183335</v>
      </c>
      <c r="Y76">
        <f t="shared" si="15"/>
        <v>0.92531176012864924</v>
      </c>
      <c r="Z76">
        <f t="shared" si="15"/>
        <v>0.90296341559272919</v>
      </c>
      <c r="AA76">
        <f t="shared" si="15"/>
        <v>0.88115483346448309</v>
      </c>
      <c r="AB76">
        <f t="shared" si="15"/>
        <v>0.85987297727688017</v>
      </c>
      <c r="AC76">
        <f t="shared" si="15"/>
        <v>0.83910512542266924</v>
      </c>
      <c r="AD76">
        <f t="shared" si="15"/>
        <v>0.81883886354981128</v>
      </c>
    </row>
    <row r="77" spans="2:30">
      <c r="B77">
        <v>0.92500000000000004</v>
      </c>
      <c r="D77">
        <f t="shared" si="12"/>
        <v>0</v>
      </c>
      <c r="E77">
        <f t="shared" si="11"/>
        <v>2.25</v>
      </c>
      <c r="F77">
        <f t="shared" si="11"/>
        <v>2.25</v>
      </c>
      <c r="G77">
        <f t="shared" si="11"/>
        <v>2.25</v>
      </c>
      <c r="H77">
        <f t="shared" si="11"/>
        <v>2.25</v>
      </c>
      <c r="I77">
        <f t="shared" ref="E77:L109" si="20">IF($B77&lt;=I$2,100*$D$1/2,0)</f>
        <v>2.25</v>
      </c>
      <c r="J77">
        <f t="shared" si="20"/>
        <v>2.25</v>
      </c>
      <c r="K77">
        <f t="shared" si="20"/>
        <v>2.25</v>
      </c>
      <c r="L77">
        <f t="shared" si="20"/>
        <v>2.25</v>
      </c>
      <c r="M77">
        <f t="shared" si="16"/>
        <v>102.25</v>
      </c>
      <c r="P77">
        <f t="shared" si="17"/>
        <v>0.92500000000000004</v>
      </c>
      <c r="Q77">
        <v>0.85</v>
      </c>
      <c r="R77">
        <f t="shared" si="18"/>
        <v>98.354115023645875</v>
      </c>
      <c r="S77">
        <f t="shared" si="19"/>
        <v>1.9124999999999999</v>
      </c>
      <c r="T77">
        <f t="shared" si="14"/>
        <v>100.26661502364587</v>
      </c>
      <c r="U77">
        <f t="shared" si="15"/>
        <v>0</v>
      </c>
      <c r="V77">
        <f t="shared" si="15"/>
        <v>0.99633941427906403</v>
      </c>
      <c r="W77">
        <f t="shared" si="15"/>
        <v>0.97227559334380487</v>
      </c>
      <c r="X77">
        <f t="shared" si="15"/>
        <v>0.94879296740063901</v>
      </c>
      <c r="Y77">
        <f t="shared" si="15"/>
        <v>0.9258774992931339</v>
      </c>
      <c r="Z77">
        <f t="shared" si="15"/>
        <v>0.90351549089351935</v>
      </c>
      <c r="AA77">
        <f t="shared" si="15"/>
        <v>0.88169357491438816</v>
      </c>
      <c r="AB77">
        <f t="shared" si="15"/>
        <v>0.86039870691816356</v>
      </c>
      <c r="AC77">
        <f t="shared" si="15"/>
        <v>0.8396181575195546</v>
      </c>
      <c r="AD77">
        <f t="shared" si="15"/>
        <v>0.8193395047763401</v>
      </c>
    </row>
    <row r="78" spans="2:30">
      <c r="B78">
        <v>0.9375</v>
      </c>
      <c r="D78">
        <f t="shared" si="12"/>
        <v>0</v>
      </c>
      <c r="E78">
        <f t="shared" si="20"/>
        <v>2.25</v>
      </c>
      <c r="F78">
        <f t="shared" si="20"/>
        <v>2.25</v>
      </c>
      <c r="G78">
        <f t="shared" si="20"/>
        <v>2.25</v>
      </c>
      <c r="H78">
        <f t="shared" si="20"/>
        <v>2.25</v>
      </c>
      <c r="I78">
        <f t="shared" si="20"/>
        <v>2.25</v>
      </c>
      <c r="J78">
        <f t="shared" si="20"/>
        <v>2.25</v>
      </c>
      <c r="K78">
        <f t="shared" si="20"/>
        <v>2.25</v>
      </c>
      <c r="L78">
        <f t="shared" si="20"/>
        <v>2.25</v>
      </c>
      <c r="M78">
        <f t="shared" si="16"/>
        <v>102.25</v>
      </c>
      <c r="P78">
        <f t="shared" si="17"/>
        <v>0.9375</v>
      </c>
      <c r="Q78">
        <v>0.875</v>
      </c>
      <c r="R78">
        <f t="shared" si="18"/>
        <v>98.359168417219195</v>
      </c>
      <c r="S78">
        <f t="shared" si="19"/>
        <v>1.96875</v>
      </c>
      <c r="T78">
        <f t="shared" si="14"/>
        <v>100.32791841721919</v>
      </c>
      <c r="U78">
        <f t="shared" si="15"/>
        <v>0</v>
      </c>
      <c r="V78">
        <f t="shared" si="15"/>
        <v>0.99694858002413034</v>
      </c>
      <c r="W78">
        <f t="shared" si="15"/>
        <v>0.97287004637631658</v>
      </c>
      <c r="X78">
        <f t="shared" si="15"/>
        <v>0.94937306306544678</v>
      </c>
      <c r="Y78">
        <f t="shared" si="15"/>
        <v>0.9264435843527169</v>
      </c>
      <c r="Z78">
        <f t="shared" si="15"/>
        <v>0.90406790373526902</v>
      </c>
      <c r="AA78">
        <f t="shared" si="15"/>
        <v>0.88223264575288507</v>
      </c>
      <c r="AB78">
        <f t="shared" si="15"/>
        <v>0.86092475799256885</v>
      </c>
      <c r="AC78">
        <f t="shared" si="15"/>
        <v>0.84013150328623454</v>
      </c>
      <c r="AD78">
        <f t="shared" si="15"/>
        <v>0.81984045209683776</v>
      </c>
    </row>
    <row r="79" spans="2:30">
      <c r="B79">
        <v>0.95</v>
      </c>
      <c r="D79">
        <f t="shared" si="12"/>
        <v>0</v>
      </c>
      <c r="E79">
        <f t="shared" si="20"/>
        <v>2.25</v>
      </c>
      <c r="F79">
        <f t="shared" si="20"/>
        <v>2.25</v>
      </c>
      <c r="G79">
        <f t="shared" si="20"/>
        <v>2.25</v>
      </c>
      <c r="H79">
        <f t="shared" si="20"/>
        <v>2.25</v>
      </c>
      <c r="I79">
        <f t="shared" si="20"/>
        <v>2.25</v>
      </c>
      <c r="J79">
        <f t="shared" si="20"/>
        <v>2.25</v>
      </c>
      <c r="K79">
        <f t="shared" si="20"/>
        <v>2.25</v>
      </c>
      <c r="L79">
        <f t="shared" si="20"/>
        <v>2.25</v>
      </c>
      <c r="M79">
        <f t="shared" si="16"/>
        <v>102.25</v>
      </c>
      <c r="P79">
        <f t="shared" si="17"/>
        <v>0.95</v>
      </c>
      <c r="Q79">
        <v>0.9</v>
      </c>
      <c r="R79">
        <f t="shared" si="18"/>
        <v>98.364259291922821</v>
      </c>
      <c r="S79">
        <f t="shared" si="19"/>
        <v>2.0249999999999999</v>
      </c>
      <c r="T79">
        <f t="shared" si="14"/>
        <v>100.38925929192283</v>
      </c>
      <c r="U79">
        <f t="shared" si="15"/>
        <v>0</v>
      </c>
      <c r="V79">
        <f t="shared" si="15"/>
        <v>0.99755811821547324</v>
      </c>
      <c r="W79">
        <f t="shared" si="15"/>
        <v>0.9734648628596958</v>
      </c>
      <c r="X79">
        <f t="shared" si="15"/>
        <v>0.94995351340297218</v>
      </c>
      <c r="Y79">
        <f t="shared" si="15"/>
        <v>0.92701001551887985</v>
      </c>
      <c r="Z79">
        <f t="shared" si="15"/>
        <v>0.90462065432435201</v>
      </c>
      <c r="AA79">
        <f t="shared" si="15"/>
        <v>0.88277204618136329</v>
      </c>
      <c r="AB79">
        <f t="shared" si="15"/>
        <v>0.86145113069662183</v>
      </c>
      <c r="AC79">
        <f t="shared" si="15"/>
        <v>0.84064516291448821</v>
      </c>
      <c r="AD79">
        <f t="shared" si="15"/>
        <v>0.82034170569845155</v>
      </c>
    </row>
    <row r="80" spans="2:30">
      <c r="B80">
        <v>0.96250000000000002</v>
      </c>
      <c r="D80">
        <f t="shared" si="12"/>
        <v>0</v>
      </c>
      <c r="E80">
        <f t="shared" si="20"/>
        <v>2.25</v>
      </c>
      <c r="F80">
        <f t="shared" si="20"/>
        <v>2.25</v>
      </c>
      <c r="G80">
        <f t="shared" si="20"/>
        <v>2.25</v>
      </c>
      <c r="H80">
        <f t="shared" si="20"/>
        <v>2.25</v>
      </c>
      <c r="I80">
        <f t="shared" si="20"/>
        <v>2.25</v>
      </c>
      <c r="J80">
        <f t="shared" si="20"/>
        <v>2.25</v>
      </c>
      <c r="K80">
        <f t="shared" si="20"/>
        <v>2.25</v>
      </c>
      <c r="L80">
        <f t="shared" si="20"/>
        <v>2.25</v>
      </c>
      <c r="M80">
        <f t="shared" si="16"/>
        <v>102.25</v>
      </c>
      <c r="P80">
        <f t="shared" si="17"/>
        <v>0.96250000000000002</v>
      </c>
      <c r="Q80">
        <v>0.92500000000000004</v>
      </c>
      <c r="R80">
        <f t="shared" si="18"/>
        <v>98.369387670672879</v>
      </c>
      <c r="S80">
        <f t="shared" si="19"/>
        <v>2.0812500000000003</v>
      </c>
      <c r="T80">
        <f t="shared" si="14"/>
        <v>100.45063767067288</v>
      </c>
      <c r="U80">
        <f t="shared" si="15"/>
        <v>0</v>
      </c>
      <c r="V80">
        <f t="shared" si="15"/>
        <v>0.99816802908080771</v>
      </c>
      <c r="W80">
        <f t="shared" si="15"/>
        <v>0.97406004301615767</v>
      </c>
      <c r="X80">
        <f t="shared" si="15"/>
        <v>0.95053431863006366</v>
      </c>
      <c r="Y80">
        <f t="shared" si="15"/>
        <v>0.92757679300323359</v>
      </c>
      <c r="Z80">
        <f t="shared" si="15"/>
        <v>0.90517374286726848</v>
      </c>
      <c r="AA80">
        <f t="shared" si="15"/>
        <v>0.8833117764013354</v>
      </c>
      <c r="AB80">
        <f t="shared" si="15"/>
        <v>0.86197782522696798</v>
      </c>
      <c r="AC80">
        <f t="shared" si="15"/>
        <v>0.84115913659621178</v>
      </c>
      <c r="AD80">
        <f t="shared" si="15"/>
        <v>0.82084326576844269</v>
      </c>
    </row>
    <row r="81" spans="2:30">
      <c r="B81">
        <v>0.97499999999999998</v>
      </c>
      <c r="D81">
        <f t="shared" si="12"/>
        <v>0</v>
      </c>
      <c r="E81">
        <f t="shared" si="20"/>
        <v>2.25</v>
      </c>
      <c r="F81">
        <f t="shared" si="20"/>
        <v>2.25</v>
      </c>
      <c r="G81">
        <f t="shared" si="20"/>
        <v>2.25</v>
      </c>
      <c r="H81">
        <f t="shared" si="20"/>
        <v>2.25</v>
      </c>
      <c r="I81">
        <f t="shared" si="20"/>
        <v>2.25</v>
      </c>
      <c r="J81">
        <f t="shared" si="20"/>
        <v>2.25</v>
      </c>
      <c r="K81">
        <f t="shared" si="20"/>
        <v>2.25</v>
      </c>
      <c r="L81">
        <f t="shared" si="20"/>
        <v>2.25</v>
      </c>
      <c r="M81">
        <f t="shared" si="16"/>
        <v>102.25</v>
      </c>
      <c r="P81">
        <f t="shared" si="17"/>
        <v>0.97499999999999998</v>
      </c>
      <c r="Q81">
        <v>0.95</v>
      </c>
      <c r="R81">
        <f t="shared" si="18"/>
        <v>98.37455357639945</v>
      </c>
      <c r="S81">
        <f t="shared" si="19"/>
        <v>2.1374999999999997</v>
      </c>
      <c r="T81">
        <f t="shared" si="14"/>
        <v>100.51205357639945</v>
      </c>
      <c r="U81">
        <f t="shared" si="15"/>
        <v>0</v>
      </c>
      <c r="V81">
        <f t="shared" si="15"/>
        <v>0.9987783128479879</v>
      </c>
      <c r="W81">
        <f t="shared" si="15"/>
        <v>0.97465558706805366</v>
      </c>
      <c r="X81">
        <f t="shared" si="15"/>
        <v>0.95111547896370197</v>
      </c>
      <c r="Y81">
        <f t="shared" si="15"/>
        <v>0.92814391701751819</v>
      </c>
      <c r="Z81">
        <f t="shared" si="15"/>
        <v>0.9057271695706447</v>
      </c>
      <c r="AA81">
        <f t="shared" si="15"/>
        <v>0.88385183661443734</v>
      </c>
      <c r="AB81">
        <f t="shared" si="15"/>
        <v>0.86250484178037301</v>
      </c>
      <c r="AC81">
        <f t="shared" si="15"/>
        <v>0.84167342452341842</v>
      </c>
      <c r="AD81">
        <f t="shared" si="15"/>
        <v>0.82134513249418728</v>
      </c>
    </row>
    <row r="82" spans="2:30">
      <c r="B82">
        <v>0.98750000000000004</v>
      </c>
      <c r="D82">
        <f t="shared" si="12"/>
        <v>0</v>
      </c>
      <c r="E82">
        <f t="shared" si="20"/>
        <v>2.25</v>
      </c>
      <c r="F82">
        <f t="shared" si="20"/>
        <v>2.25</v>
      </c>
      <c r="G82">
        <f t="shared" si="20"/>
        <v>2.25</v>
      </c>
      <c r="H82">
        <f t="shared" si="20"/>
        <v>2.25</v>
      </c>
      <c r="I82">
        <f t="shared" si="20"/>
        <v>2.25</v>
      </c>
      <c r="J82">
        <f t="shared" si="20"/>
        <v>2.25</v>
      </c>
      <c r="K82">
        <f t="shared" si="20"/>
        <v>2.25</v>
      </c>
      <c r="L82">
        <f t="shared" si="20"/>
        <v>2.25</v>
      </c>
      <c r="M82">
        <f t="shared" si="16"/>
        <v>102.25</v>
      </c>
      <c r="P82">
        <f t="shared" si="17"/>
        <v>0.98750000000000004</v>
      </c>
      <c r="Q82">
        <v>0.97499999999999998</v>
      </c>
      <c r="R82">
        <f t="shared" si="18"/>
        <v>98.379757032046726</v>
      </c>
      <c r="S82">
        <f t="shared" si="19"/>
        <v>2.1937500000000001</v>
      </c>
      <c r="T82">
        <f t="shared" si="14"/>
        <v>100.57350703204672</v>
      </c>
      <c r="U82">
        <f t="shared" si="15"/>
        <v>0</v>
      </c>
      <c r="V82">
        <f t="shared" si="15"/>
        <v>0.99938896974500779</v>
      </c>
      <c r="W82">
        <f t="shared" si="15"/>
        <v>0.97525149523787025</v>
      </c>
      <c r="X82">
        <f t="shared" si="15"/>
        <v>0.95169699462100066</v>
      </c>
      <c r="Y82">
        <f t="shared" si="15"/>
        <v>0.92871138777360385</v>
      </c>
      <c r="Z82">
        <f t="shared" si="15"/>
        <v>0.90628093464123316</v>
      </c>
      <c r="AA82">
        <f t="shared" si="15"/>
        <v>0.88439222702242815</v>
      </c>
      <c r="AB82">
        <f t="shared" si="15"/>
        <v>0.86303218055372344</v>
      </c>
      <c r="AC82">
        <f t="shared" si="15"/>
        <v>0.84218802688823946</v>
      </c>
      <c r="AD82">
        <f t="shared" si="15"/>
        <v>0.8218473060631758</v>
      </c>
    </row>
    <row r="83" spans="2:30">
      <c r="B83">
        <v>1</v>
      </c>
      <c r="D83">
        <f t="shared" si="12"/>
        <v>0</v>
      </c>
      <c r="E83">
        <f t="shared" si="20"/>
        <v>2.25</v>
      </c>
      <c r="F83">
        <f t="shared" si="20"/>
        <v>2.25</v>
      </c>
      <c r="G83">
        <f t="shared" si="20"/>
        <v>2.25</v>
      </c>
      <c r="H83">
        <f t="shared" si="20"/>
        <v>2.25</v>
      </c>
      <c r="I83">
        <f t="shared" si="20"/>
        <v>2.25</v>
      </c>
      <c r="J83">
        <f t="shared" si="20"/>
        <v>2.25</v>
      </c>
      <c r="K83">
        <f t="shared" si="20"/>
        <v>2.25</v>
      </c>
      <c r="L83">
        <f t="shared" si="20"/>
        <v>2.25</v>
      </c>
      <c r="M83">
        <f t="shared" si="16"/>
        <v>102.25</v>
      </c>
      <c r="P83">
        <f t="shared" si="17"/>
        <v>1</v>
      </c>
      <c r="Q83">
        <v>1</v>
      </c>
      <c r="R83">
        <f>T83-S83</f>
        <v>98.384998060572826</v>
      </c>
      <c r="S83">
        <f t="shared" si="19"/>
        <v>2.25</v>
      </c>
      <c r="T83">
        <f t="shared" si="14"/>
        <v>100.63499806057283</v>
      </c>
      <c r="U83">
        <f t="shared" ref="U83:AD98" si="21">IF((1/(1+$O$3/2)^((U$2-$P83)*2))&lt;=1,1/(1+$O$3/2)^((U$2-$P83)*2),0)</f>
        <v>0</v>
      </c>
      <c r="V83">
        <f t="shared" si="21"/>
        <v>1</v>
      </c>
      <c r="W83">
        <f t="shared" si="21"/>
        <v>0.97584776774823123</v>
      </c>
      <c r="X83">
        <f t="shared" si="21"/>
        <v>0.95227886581920584</v>
      </c>
      <c r="Y83">
        <f t="shared" si="21"/>
        <v>0.92927920548348952</v>
      </c>
      <c r="Z83">
        <f t="shared" si="21"/>
        <v>0.90683503828591316</v>
      </c>
      <c r="AA83">
        <f t="shared" si="21"/>
        <v>0.88493294782719012</v>
      </c>
      <c r="AB83">
        <f t="shared" si="21"/>
        <v>0.86355984174402556</v>
      </c>
      <c r="AC83">
        <f t="shared" si="21"/>
        <v>0.84270294388292311</v>
      </c>
      <c r="AD83">
        <f t="shared" si="21"/>
        <v>0.8223497866630135</v>
      </c>
    </row>
    <row r="84" spans="2:30">
      <c r="B84">
        <v>1.0125</v>
      </c>
      <c r="D84">
        <f t="shared" si="12"/>
        <v>0</v>
      </c>
      <c r="E84">
        <f t="shared" si="20"/>
        <v>0</v>
      </c>
      <c r="F84">
        <f t="shared" si="20"/>
        <v>2.25</v>
      </c>
      <c r="G84">
        <f t="shared" si="20"/>
        <v>2.25</v>
      </c>
      <c r="H84">
        <f t="shared" si="20"/>
        <v>2.25</v>
      </c>
      <c r="I84">
        <f t="shared" si="20"/>
        <v>2.25</v>
      </c>
      <c r="J84">
        <f t="shared" si="20"/>
        <v>2.25</v>
      </c>
      <c r="K84">
        <f t="shared" si="20"/>
        <v>2.25</v>
      </c>
      <c r="L84">
        <f t="shared" si="20"/>
        <v>2.25</v>
      </c>
      <c r="M84">
        <f t="shared" si="16"/>
        <v>102.25</v>
      </c>
      <c r="P84">
        <f t="shared" si="17"/>
        <v>1.0125</v>
      </c>
      <c r="Q84">
        <v>2.5000000000000001E-2</v>
      </c>
      <c r="R84">
        <f t="shared" si="18"/>
        <v>98.388901026307181</v>
      </c>
      <c r="S84">
        <f t="shared" si="19"/>
        <v>5.6250000000000001E-2</v>
      </c>
      <c r="T84">
        <f t="shared" si="14"/>
        <v>98.445151026307187</v>
      </c>
      <c r="U84">
        <f t="shared" si="21"/>
        <v>0</v>
      </c>
      <c r="V84">
        <f t="shared" si="21"/>
        <v>0</v>
      </c>
      <c r="W84">
        <f t="shared" si="21"/>
        <v>0.97644440482189543</v>
      </c>
      <c r="X84">
        <f t="shared" si="21"/>
        <v>0.95286109277569686</v>
      </c>
      <c r="Y84">
        <f t="shared" si="21"/>
        <v>0.92984737035930409</v>
      </c>
      <c r="Z84">
        <f t="shared" si="21"/>
        <v>0.90738948071168957</v>
      </c>
      <c r="AA84">
        <f t="shared" si="21"/>
        <v>0.885473999230729</v>
      </c>
      <c r="AB84">
        <f t="shared" si="21"/>
        <v>0.86408782554840602</v>
      </c>
      <c r="AC84">
        <f t="shared" si="21"/>
        <v>0.84321817569983493</v>
      </c>
      <c r="AD84">
        <f t="shared" si="21"/>
        <v>0.8228525744814198</v>
      </c>
    </row>
    <row r="85" spans="2:30">
      <c r="B85">
        <v>1.0249999999999999</v>
      </c>
      <c r="D85">
        <f t="shared" si="12"/>
        <v>0</v>
      </c>
      <c r="E85">
        <f t="shared" si="20"/>
        <v>0</v>
      </c>
      <c r="F85">
        <f t="shared" si="20"/>
        <v>2.25</v>
      </c>
      <c r="G85">
        <f t="shared" si="20"/>
        <v>2.25</v>
      </c>
      <c r="H85">
        <f t="shared" si="20"/>
        <v>2.25</v>
      </c>
      <c r="I85">
        <f t="shared" si="20"/>
        <v>2.25</v>
      </c>
      <c r="J85">
        <f t="shared" si="20"/>
        <v>2.25</v>
      </c>
      <c r="K85">
        <f t="shared" si="20"/>
        <v>2.25</v>
      </c>
      <c r="L85">
        <f t="shared" si="20"/>
        <v>2.25</v>
      </c>
      <c r="M85">
        <f t="shared" si="16"/>
        <v>102.25</v>
      </c>
      <c r="P85">
        <f t="shared" si="17"/>
        <v>1.0249999999999999</v>
      </c>
      <c r="Q85">
        <v>0.05</v>
      </c>
      <c r="R85">
        <f t="shared" si="18"/>
        <v>98.392840769795839</v>
      </c>
      <c r="S85">
        <f t="shared" si="19"/>
        <v>0.1125</v>
      </c>
      <c r="T85">
        <f t="shared" si="14"/>
        <v>98.505340769795836</v>
      </c>
      <c r="U85">
        <f t="shared" si="21"/>
        <v>0</v>
      </c>
      <c r="V85">
        <f t="shared" si="21"/>
        <v>0</v>
      </c>
      <c r="W85">
        <f t="shared" si="21"/>
        <v>0.9770414066817581</v>
      </c>
      <c r="X85">
        <f t="shared" si="21"/>
        <v>0.95344367570798538</v>
      </c>
      <c r="Y85">
        <f t="shared" si="21"/>
        <v>0.9304158826133061</v>
      </c>
      <c r="Z85">
        <f t="shared" si="21"/>
        <v>0.90794426212569501</v>
      </c>
      <c r="AA85">
        <f t="shared" si="21"/>
        <v>0.88601538143517433</v>
      </c>
      <c r="AB85">
        <f t="shared" si="21"/>
        <v>0.86461613216411259</v>
      </c>
      <c r="AC85">
        <f t="shared" si="21"/>
        <v>0.84373372253145895</v>
      </c>
      <c r="AD85">
        <f t="shared" si="21"/>
        <v>0.82335566970622975</v>
      </c>
    </row>
    <row r="86" spans="2:30">
      <c r="B86">
        <v>1.0375000000000001</v>
      </c>
      <c r="D86">
        <f t="shared" si="12"/>
        <v>0</v>
      </c>
      <c r="E86">
        <f t="shared" si="20"/>
        <v>0</v>
      </c>
      <c r="F86">
        <f t="shared" si="20"/>
        <v>2.25</v>
      </c>
      <c r="G86">
        <f t="shared" si="20"/>
        <v>2.25</v>
      </c>
      <c r="H86">
        <f t="shared" si="20"/>
        <v>2.25</v>
      </c>
      <c r="I86">
        <f t="shared" si="20"/>
        <v>2.25</v>
      </c>
      <c r="J86">
        <f t="shared" si="20"/>
        <v>2.25</v>
      </c>
      <c r="K86">
        <f t="shared" si="20"/>
        <v>2.25</v>
      </c>
      <c r="L86">
        <f t="shared" si="20"/>
        <v>2.25</v>
      </c>
      <c r="M86">
        <f t="shared" si="16"/>
        <v>102.25</v>
      </c>
      <c r="P86">
        <f t="shared" si="17"/>
        <v>1.0375000000000001</v>
      </c>
      <c r="Q86">
        <v>7.4999999999999997E-2</v>
      </c>
      <c r="R86">
        <f t="shared" si="18"/>
        <v>98.396817313524892</v>
      </c>
      <c r="S86">
        <f t="shared" si="19"/>
        <v>0.16874999999999998</v>
      </c>
      <c r="T86">
        <f t="shared" si="14"/>
        <v>98.565567313524895</v>
      </c>
      <c r="U86">
        <f t="shared" si="21"/>
        <v>0</v>
      </c>
      <c r="V86">
        <f t="shared" si="21"/>
        <v>0</v>
      </c>
      <c r="W86">
        <f t="shared" si="21"/>
        <v>0.97763877355085138</v>
      </c>
      <c r="X86">
        <f t="shared" si="21"/>
        <v>0.95402661483371676</v>
      </c>
      <c r="Y86">
        <f t="shared" si="21"/>
        <v>0.9309847424578841</v>
      </c>
      <c r="Z86">
        <f t="shared" si="21"/>
        <v>0.90849938273518804</v>
      </c>
      <c r="AA86">
        <f t="shared" si="21"/>
        <v>0.88655709464277921</v>
      </c>
      <c r="AB86">
        <f t="shared" si="21"/>
        <v>0.86514476178851352</v>
      </c>
      <c r="AC86">
        <f t="shared" si="21"/>
        <v>0.84424958457039612</v>
      </c>
      <c r="AD86">
        <f t="shared" si="21"/>
        <v>0.82385907252539259</v>
      </c>
    </row>
    <row r="87" spans="2:30">
      <c r="B87">
        <v>1.05</v>
      </c>
      <c r="D87">
        <f t="shared" si="12"/>
        <v>0</v>
      </c>
      <c r="E87">
        <f t="shared" si="20"/>
        <v>0</v>
      </c>
      <c r="F87">
        <f t="shared" si="20"/>
        <v>2.25</v>
      </c>
      <c r="G87">
        <f t="shared" si="20"/>
        <v>2.25</v>
      </c>
      <c r="H87">
        <f t="shared" si="20"/>
        <v>2.25</v>
      </c>
      <c r="I87">
        <f t="shared" si="20"/>
        <v>2.25</v>
      </c>
      <c r="J87">
        <f t="shared" si="20"/>
        <v>2.25</v>
      </c>
      <c r="K87">
        <f t="shared" si="20"/>
        <v>2.25</v>
      </c>
      <c r="L87">
        <f t="shared" si="20"/>
        <v>2.25</v>
      </c>
      <c r="M87">
        <f t="shared" si="16"/>
        <v>102.25</v>
      </c>
      <c r="P87">
        <f t="shared" si="17"/>
        <v>1.05</v>
      </c>
      <c r="Q87">
        <v>0.1</v>
      </c>
      <c r="R87">
        <f t="shared" si="18"/>
        <v>98.400830679994101</v>
      </c>
      <c r="S87">
        <f t="shared" si="19"/>
        <v>0.22500000000000001</v>
      </c>
      <c r="T87">
        <f t="shared" si="14"/>
        <v>98.625830679994095</v>
      </c>
      <c r="U87">
        <f t="shared" si="21"/>
        <v>0</v>
      </c>
      <c r="V87">
        <f t="shared" si="21"/>
        <v>0</v>
      </c>
      <c r="W87">
        <f t="shared" si="21"/>
        <v>0.97823650565234288</v>
      </c>
      <c r="X87">
        <f t="shared" si="21"/>
        <v>0.95460991037066867</v>
      </c>
      <c r="Y87">
        <f t="shared" si="21"/>
        <v>0.93155395010555608</v>
      </c>
      <c r="Z87">
        <f t="shared" si="21"/>
        <v>0.90905484274755399</v>
      </c>
      <c r="AA87">
        <f t="shared" si="21"/>
        <v>0.88709913905591997</v>
      </c>
      <c r="AB87">
        <f t="shared" si="21"/>
        <v>0.86567371461909726</v>
      </c>
      <c r="AC87">
        <f t="shared" si="21"/>
        <v>0.84476576200936548</v>
      </c>
      <c r="AD87">
        <f t="shared" si="21"/>
        <v>0.82436278312697275</v>
      </c>
    </row>
    <row r="88" spans="2:30">
      <c r="B88">
        <v>1.0625</v>
      </c>
      <c r="D88">
        <f t="shared" si="12"/>
        <v>0</v>
      </c>
      <c r="E88">
        <f t="shared" si="20"/>
        <v>0</v>
      </c>
      <c r="F88">
        <f t="shared" si="20"/>
        <v>2.25</v>
      </c>
      <c r="G88">
        <f t="shared" si="20"/>
        <v>2.25</v>
      </c>
      <c r="H88">
        <f t="shared" si="20"/>
        <v>2.25</v>
      </c>
      <c r="I88">
        <f t="shared" si="20"/>
        <v>2.25</v>
      </c>
      <c r="J88">
        <f t="shared" si="20"/>
        <v>2.25</v>
      </c>
      <c r="K88">
        <f t="shared" si="20"/>
        <v>2.25</v>
      </c>
      <c r="L88">
        <f t="shared" si="20"/>
        <v>2.25</v>
      </c>
      <c r="M88">
        <f t="shared" si="16"/>
        <v>102.25</v>
      </c>
      <c r="P88">
        <f t="shared" si="17"/>
        <v>1.0625</v>
      </c>
      <c r="Q88">
        <v>0.125</v>
      </c>
      <c r="R88">
        <f t="shared" si="18"/>
        <v>98.404880891717085</v>
      </c>
      <c r="S88">
        <f t="shared" si="19"/>
        <v>0.28125</v>
      </c>
      <c r="T88">
        <f t="shared" si="14"/>
        <v>98.686130891717085</v>
      </c>
      <c r="U88">
        <f t="shared" si="21"/>
        <v>0</v>
      </c>
      <c r="V88">
        <f t="shared" si="21"/>
        <v>0</v>
      </c>
      <c r="W88">
        <f t="shared" si="21"/>
        <v>0.97883460320953708</v>
      </c>
      <c r="X88">
        <f t="shared" si="21"/>
        <v>0.95519356253675247</v>
      </c>
      <c r="Y88">
        <f t="shared" si="21"/>
        <v>0.93212350576897052</v>
      </c>
      <c r="Z88">
        <f t="shared" si="21"/>
        <v>0.90961064237030542</v>
      </c>
      <c r="AA88">
        <f t="shared" si="21"/>
        <v>0.88764151487709708</v>
      </c>
      <c r="AB88">
        <f t="shared" si="21"/>
        <v>0.86620299085347352</v>
      </c>
      <c r="AC88">
        <f t="shared" si="21"/>
        <v>0.8452822550412038</v>
      </c>
      <c r="AD88">
        <f t="shared" si="21"/>
        <v>0.82486680169914983</v>
      </c>
    </row>
    <row r="89" spans="2:30">
      <c r="B89">
        <v>1.075</v>
      </c>
      <c r="D89">
        <f t="shared" si="12"/>
        <v>0</v>
      </c>
      <c r="E89">
        <f t="shared" si="20"/>
        <v>0</v>
      </c>
      <c r="F89">
        <f t="shared" si="20"/>
        <v>2.25</v>
      </c>
      <c r="G89">
        <f t="shared" si="20"/>
        <v>2.25</v>
      </c>
      <c r="H89">
        <f t="shared" si="20"/>
        <v>2.25</v>
      </c>
      <c r="I89">
        <f t="shared" si="20"/>
        <v>2.25</v>
      </c>
      <c r="J89">
        <f t="shared" si="20"/>
        <v>2.25</v>
      </c>
      <c r="K89">
        <f t="shared" si="20"/>
        <v>2.25</v>
      </c>
      <c r="L89">
        <f t="shared" si="20"/>
        <v>2.25</v>
      </c>
      <c r="M89">
        <f t="shared" si="16"/>
        <v>102.25</v>
      </c>
      <c r="P89">
        <f t="shared" si="17"/>
        <v>1.075</v>
      </c>
      <c r="Q89">
        <v>0.15</v>
      </c>
      <c r="R89">
        <f t="shared" si="18"/>
        <v>98.408967971221102</v>
      </c>
      <c r="S89">
        <f t="shared" si="19"/>
        <v>0.33749999999999997</v>
      </c>
      <c r="T89">
        <f t="shared" si="14"/>
        <v>98.746467971221108</v>
      </c>
      <c r="U89">
        <f t="shared" si="21"/>
        <v>0</v>
      </c>
      <c r="V89">
        <f t="shared" si="21"/>
        <v>0</v>
      </c>
      <c r="W89">
        <f t="shared" si="21"/>
        <v>0.97943306644587558</v>
      </c>
      <c r="X89">
        <f t="shared" si="21"/>
        <v>0.95577757155001264</v>
      </c>
      <c r="Y89">
        <f t="shared" si="21"/>
        <v>0.93269340966090508</v>
      </c>
      <c r="Z89">
        <f t="shared" si="21"/>
        <v>0.91016678181108079</v>
      </c>
      <c r="AA89">
        <f t="shared" si="21"/>
        <v>0.88818422230893457</v>
      </c>
      <c r="AB89">
        <f t="shared" si="21"/>
        <v>0.8667325906893727</v>
      </c>
      <c r="AC89">
        <f t="shared" si="21"/>
        <v>0.84579906385886561</v>
      </c>
      <c r="AD89">
        <f t="shared" si="21"/>
        <v>0.82537112843021765</v>
      </c>
    </row>
    <row r="90" spans="2:30">
      <c r="B90">
        <v>1.0874999999999999</v>
      </c>
      <c r="D90">
        <f t="shared" si="12"/>
        <v>0</v>
      </c>
      <c r="E90">
        <f t="shared" si="20"/>
        <v>0</v>
      </c>
      <c r="F90">
        <f t="shared" si="20"/>
        <v>2.25</v>
      </c>
      <c r="G90">
        <f t="shared" si="20"/>
        <v>2.25</v>
      </c>
      <c r="H90">
        <f t="shared" si="20"/>
        <v>2.25</v>
      </c>
      <c r="I90">
        <f t="shared" si="20"/>
        <v>2.25</v>
      </c>
      <c r="J90">
        <f t="shared" si="20"/>
        <v>2.25</v>
      </c>
      <c r="K90">
        <f t="shared" si="20"/>
        <v>2.25</v>
      </c>
      <c r="L90">
        <f t="shared" si="20"/>
        <v>2.25</v>
      </c>
      <c r="M90">
        <f t="shared" si="16"/>
        <v>102.25</v>
      </c>
      <c r="P90">
        <f t="shared" si="17"/>
        <v>1.0874999999999999</v>
      </c>
      <c r="Q90">
        <v>0.17499999999999999</v>
      </c>
      <c r="R90">
        <f t="shared" si="18"/>
        <v>98.413091941047341</v>
      </c>
      <c r="S90">
        <f t="shared" si="19"/>
        <v>0.39374999999999999</v>
      </c>
      <c r="T90">
        <f t="shared" si="14"/>
        <v>98.806841941047338</v>
      </c>
      <c r="U90">
        <f t="shared" si="21"/>
        <v>0</v>
      </c>
      <c r="V90">
        <f t="shared" si="21"/>
        <v>0</v>
      </c>
      <c r="W90">
        <f t="shared" si="21"/>
        <v>0.98003189558493531</v>
      </c>
      <c r="X90">
        <f t="shared" si="21"/>
        <v>0.95636193762862676</v>
      </c>
      <c r="Y90">
        <f t="shared" si="21"/>
        <v>0.93326366199426847</v>
      </c>
      <c r="Z90">
        <f t="shared" si="21"/>
        <v>0.91072326127764669</v>
      </c>
      <c r="AA90">
        <f t="shared" si="21"/>
        <v>0.88872726155418069</v>
      </c>
      <c r="AB90">
        <f t="shared" si="21"/>
        <v>0.86726251432464574</v>
      </c>
      <c r="AC90">
        <f t="shared" si="21"/>
        <v>0.84631618865542391</v>
      </c>
      <c r="AD90">
        <f t="shared" si="21"/>
        <v>0.82587576350858638</v>
      </c>
    </row>
    <row r="91" spans="2:30">
      <c r="B91">
        <v>1.1000000000000001</v>
      </c>
      <c r="D91">
        <f t="shared" si="12"/>
        <v>0</v>
      </c>
      <c r="E91">
        <f t="shared" si="20"/>
        <v>0</v>
      </c>
      <c r="F91">
        <f t="shared" si="20"/>
        <v>2.25</v>
      </c>
      <c r="G91">
        <f t="shared" si="20"/>
        <v>2.25</v>
      </c>
      <c r="H91">
        <f t="shared" si="20"/>
        <v>2.25</v>
      </c>
      <c r="I91">
        <f t="shared" si="20"/>
        <v>2.25</v>
      </c>
      <c r="J91">
        <f t="shared" si="20"/>
        <v>2.25</v>
      </c>
      <c r="K91">
        <f t="shared" si="20"/>
        <v>2.25</v>
      </c>
      <c r="L91">
        <f t="shared" si="20"/>
        <v>2.25</v>
      </c>
      <c r="M91">
        <f t="shared" si="16"/>
        <v>102.25</v>
      </c>
      <c r="P91">
        <f t="shared" si="17"/>
        <v>1.1000000000000001</v>
      </c>
      <c r="Q91">
        <v>0.2</v>
      </c>
      <c r="R91">
        <f t="shared" si="18"/>
        <v>98.41725282375063</v>
      </c>
      <c r="S91">
        <f t="shared" si="19"/>
        <v>0.45</v>
      </c>
      <c r="T91">
        <f t="shared" si="14"/>
        <v>98.867252823750633</v>
      </c>
      <c r="U91">
        <f t="shared" si="21"/>
        <v>0</v>
      </c>
      <c r="V91">
        <f t="shared" si="21"/>
        <v>0</v>
      </c>
      <c r="W91">
        <f t="shared" si="21"/>
        <v>0.98063109085043088</v>
      </c>
      <c r="X91">
        <f t="shared" si="21"/>
        <v>0.95694666099090597</v>
      </c>
      <c r="Y91">
        <f t="shared" si="21"/>
        <v>0.93383426298209904</v>
      </c>
      <c r="Z91">
        <f t="shared" si="21"/>
        <v>0.91128008097789603</v>
      </c>
      <c r="AA91">
        <f t="shared" si="21"/>
        <v>0.88927063281570717</v>
      </c>
      <c r="AB91">
        <f t="shared" si="21"/>
        <v>0.86779276195726485</v>
      </c>
      <c r="AC91">
        <f t="shared" si="21"/>
        <v>0.84683362962406916</v>
      </c>
      <c r="AD91">
        <f t="shared" si="21"/>
        <v>0.82638070712278033</v>
      </c>
    </row>
    <row r="92" spans="2:30">
      <c r="B92">
        <v>1.1125</v>
      </c>
      <c r="D92">
        <f t="shared" si="12"/>
        <v>0</v>
      </c>
      <c r="E92">
        <f t="shared" si="20"/>
        <v>0</v>
      </c>
      <c r="F92">
        <f t="shared" si="20"/>
        <v>2.25</v>
      </c>
      <c r="G92">
        <f t="shared" si="20"/>
        <v>2.25</v>
      </c>
      <c r="H92">
        <f t="shared" si="20"/>
        <v>2.25</v>
      </c>
      <c r="I92">
        <f t="shared" si="20"/>
        <v>2.25</v>
      </c>
      <c r="J92">
        <f t="shared" si="20"/>
        <v>2.25</v>
      </c>
      <c r="K92">
        <f t="shared" si="20"/>
        <v>2.25</v>
      </c>
      <c r="L92">
        <f t="shared" si="20"/>
        <v>2.25</v>
      </c>
      <c r="M92">
        <f t="shared" si="16"/>
        <v>102.25</v>
      </c>
      <c r="P92">
        <f t="shared" si="17"/>
        <v>1.1125</v>
      </c>
      <c r="Q92">
        <v>0.22500000000000001</v>
      </c>
      <c r="R92">
        <f t="shared" si="18"/>
        <v>98.421450641899639</v>
      </c>
      <c r="S92">
        <f t="shared" si="19"/>
        <v>0.50624999999999998</v>
      </c>
      <c r="T92">
        <f t="shared" si="14"/>
        <v>98.927700641899634</v>
      </c>
      <c r="U92">
        <f t="shared" si="21"/>
        <v>0</v>
      </c>
      <c r="V92">
        <f t="shared" si="21"/>
        <v>0</v>
      </c>
      <c r="W92">
        <f t="shared" si="21"/>
        <v>0.98123065246621366</v>
      </c>
      <c r="X92">
        <f t="shared" si="21"/>
        <v>0.9575317418552951</v>
      </c>
      <c r="Y92">
        <f t="shared" si="21"/>
        <v>0.93440521283756539</v>
      </c>
      <c r="Z92">
        <f t="shared" si="21"/>
        <v>0.91183724111984898</v>
      </c>
      <c r="AA92">
        <f t="shared" si="21"/>
        <v>0.8898143362965103</v>
      </c>
      <c r="AB92">
        <f t="shared" si="21"/>
        <v>0.86832333378532345</v>
      </c>
      <c r="AC92">
        <f t="shared" si="21"/>
        <v>0.84735138695811019</v>
      </c>
      <c r="AD92">
        <f t="shared" si="21"/>
        <v>0.8268859594614395</v>
      </c>
    </row>
    <row r="93" spans="2:30">
      <c r="B93">
        <v>1.125</v>
      </c>
      <c r="D93">
        <f t="shared" si="12"/>
        <v>0</v>
      </c>
      <c r="E93">
        <f t="shared" si="20"/>
        <v>0</v>
      </c>
      <c r="F93">
        <f t="shared" si="20"/>
        <v>2.25</v>
      </c>
      <c r="G93">
        <f t="shared" si="20"/>
        <v>2.25</v>
      </c>
      <c r="H93">
        <f t="shared" si="20"/>
        <v>2.25</v>
      </c>
      <c r="I93">
        <f t="shared" si="20"/>
        <v>2.25</v>
      </c>
      <c r="J93">
        <f t="shared" si="20"/>
        <v>2.25</v>
      </c>
      <c r="K93">
        <f t="shared" si="20"/>
        <v>2.25</v>
      </c>
      <c r="L93">
        <f t="shared" si="20"/>
        <v>2.25</v>
      </c>
      <c r="M93">
        <f t="shared" si="16"/>
        <v>102.25</v>
      </c>
      <c r="P93">
        <f t="shared" si="17"/>
        <v>1.125</v>
      </c>
      <c r="Q93">
        <v>0.25</v>
      </c>
      <c r="R93">
        <f t="shared" si="18"/>
        <v>98.425685418076867</v>
      </c>
      <c r="S93">
        <f t="shared" si="19"/>
        <v>0.5625</v>
      </c>
      <c r="T93">
        <f t="shared" si="14"/>
        <v>98.988185418076867</v>
      </c>
      <c r="U93">
        <f t="shared" si="21"/>
        <v>0</v>
      </c>
      <c r="V93">
        <f t="shared" si="21"/>
        <v>0</v>
      </c>
      <c r="W93">
        <f t="shared" si="21"/>
        <v>0.98183058065627116</v>
      </c>
      <c r="X93">
        <f t="shared" si="21"/>
        <v>0.95811718044037208</v>
      </c>
      <c r="Y93">
        <f t="shared" si="21"/>
        <v>0.93497651177396635</v>
      </c>
      <c r="Z93">
        <f t="shared" si="21"/>
        <v>0.91239474191165282</v>
      </c>
      <c r="AA93">
        <f t="shared" si="21"/>
        <v>0.89035837219971004</v>
      </c>
      <c r="AB93">
        <f t="shared" si="21"/>
        <v>0.86885423000703577</v>
      </c>
      <c r="AC93">
        <f t="shared" si="21"/>
        <v>0.84786946085097425</v>
      </c>
      <c r="AD93">
        <f t="shared" si="21"/>
        <v>0.82739152071331945</v>
      </c>
    </row>
    <row r="94" spans="2:30">
      <c r="B94">
        <v>1.1375</v>
      </c>
      <c r="D94">
        <f t="shared" si="12"/>
        <v>0</v>
      </c>
      <c r="E94">
        <f t="shared" si="20"/>
        <v>0</v>
      </c>
      <c r="F94">
        <f t="shared" si="20"/>
        <v>2.25</v>
      </c>
      <c r="G94">
        <f t="shared" si="20"/>
        <v>2.25</v>
      </c>
      <c r="H94">
        <f t="shared" si="20"/>
        <v>2.25</v>
      </c>
      <c r="I94">
        <f t="shared" si="20"/>
        <v>2.25</v>
      </c>
      <c r="J94">
        <f t="shared" si="20"/>
        <v>2.25</v>
      </c>
      <c r="K94">
        <f t="shared" si="20"/>
        <v>2.25</v>
      </c>
      <c r="L94">
        <f t="shared" si="20"/>
        <v>2.25</v>
      </c>
      <c r="M94">
        <f t="shared" si="16"/>
        <v>102.25</v>
      </c>
      <c r="P94">
        <f t="shared" si="17"/>
        <v>1.1375</v>
      </c>
      <c r="Q94">
        <v>0.27500000000000002</v>
      </c>
      <c r="R94">
        <f t="shared" si="18"/>
        <v>98.429957174878595</v>
      </c>
      <c r="S94">
        <f t="shared" si="19"/>
        <v>0.61875000000000002</v>
      </c>
      <c r="T94">
        <f t="shared" si="14"/>
        <v>99.048707174878601</v>
      </c>
      <c r="U94">
        <f t="shared" si="21"/>
        <v>0</v>
      </c>
      <c r="V94">
        <f t="shared" si="21"/>
        <v>0</v>
      </c>
      <c r="W94">
        <f t="shared" si="21"/>
        <v>0.98243087564472875</v>
      </c>
      <c r="X94">
        <f t="shared" si="21"/>
        <v>0.95870297696484874</v>
      </c>
      <c r="Y94">
        <f t="shared" si="21"/>
        <v>0.93554816000473162</v>
      </c>
      <c r="Z94">
        <f t="shared" si="21"/>
        <v>0.91295258356158249</v>
      </c>
      <c r="AA94">
        <f t="shared" si="21"/>
        <v>0.8909027407285508</v>
      </c>
      <c r="AB94">
        <f t="shared" si="21"/>
        <v>0.86938545082073737</v>
      </c>
      <c r="AC94">
        <f t="shared" si="21"/>
        <v>0.84838785149620632</v>
      </c>
      <c r="AD94">
        <f t="shared" si="21"/>
        <v>0.82789739106729077</v>
      </c>
    </row>
    <row r="95" spans="2:30">
      <c r="B95">
        <v>1.1499999999999999</v>
      </c>
      <c r="D95">
        <f t="shared" si="12"/>
        <v>0</v>
      </c>
      <c r="E95">
        <f t="shared" si="20"/>
        <v>0</v>
      </c>
      <c r="F95">
        <f t="shared" si="20"/>
        <v>2.25</v>
      </c>
      <c r="G95">
        <f t="shared" si="20"/>
        <v>2.25</v>
      </c>
      <c r="H95">
        <f t="shared" si="20"/>
        <v>2.25</v>
      </c>
      <c r="I95">
        <f t="shared" si="20"/>
        <v>2.25</v>
      </c>
      <c r="J95">
        <f t="shared" si="20"/>
        <v>2.25</v>
      </c>
      <c r="K95">
        <f t="shared" si="20"/>
        <v>2.25</v>
      </c>
      <c r="L95">
        <f t="shared" si="20"/>
        <v>2.25</v>
      </c>
      <c r="M95">
        <f t="shared" si="16"/>
        <v>102.25</v>
      </c>
      <c r="P95">
        <f t="shared" si="17"/>
        <v>1.1499999999999999</v>
      </c>
      <c r="Q95">
        <v>0.3</v>
      </c>
      <c r="R95">
        <f t="shared" si="18"/>
        <v>98.434265934914919</v>
      </c>
      <c r="S95">
        <f t="shared" si="19"/>
        <v>0.67499999999999993</v>
      </c>
      <c r="T95">
        <f t="shared" si="14"/>
        <v>99.109265934914916</v>
      </c>
      <c r="U95">
        <f t="shared" si="21"/>
        <v>0</v>
      </c>
      <c r="V95">
        <f t="shared" si="21"/>
        <v>0</v>
      </c>
      <c r="W95">
        <f t="shared" si="21"/>
        <v>0.98303153765584805</v>
      </c>
      <c r="X95">
        <f t="shared" si="21"/>
        <v>0.95928913164757079</v>
      </c>
      <c r="Y95">
        <f t="shared" si="21"/>
        <v>0.93612015774342094</v>
      </c>
      <c r="Z95">
        <f t="shared" si="21"/>
        <v>0.9135107662780394</v>
      </c>
      <c r="AA95">
        <f t="shared" si="21"/>
        <v>0.89144744208640103</v>
      </c>
      <c r="AB95">
        <f t="shared" si="21"/>
        <v>0.86991699642488507</v>
      </c>
      <c r="AC95">
        <f t="shared" si="21"/>
        <v>0.84890655908747015</v>
      </c>
      <c r="AD95">
        <f t="shared" si="21"/>
        <v>0.82840357071233961</v>
      </c>
    </row>
    <row r="96" spans="2:30">
      <c r="B96">
        <v>1.1625000000000001</v>
      </c>
      <c r="D96">
        <f t="shared" si="12"/>
        <v>0</v>
      </c>
      <c r="E96">
        <f t="shared" si="20"/>
        <v>0</v>
      </c>
      <c r="F96">
        <f t="shared" si="20"/>
        <v>2.25</v>
      </c>
      <c r="G96">
        <f t="shared" si="20"/>
        <v>2.25</v>
      </c>
      <c r="H96">
        <f t="shared" si="20"/>
        <v>2.25</v>
      </c>
      <c r="I96">
        <f t="shared" si="20"/>
        <v>2.25</v>
      </c>
      <c r="J96">
        <f t="shared" si="20"/>
        <v>2.25</v>
      </c>
      <c r="K96">
        <f t="shared" si="20"/>
        <v>2.25</v>
      </c>
      <c r="L96">
        <f t="shared" si="20"/>
        <v>2.25</v>
      </c>
      <c r="M96">
        <f t="shared" si="16"/>
        <v>102.25</v>
      </c>
      <c r="P96">
        <f t="shared" si="17"/>
        <v>1.1625000000000001</v>
      </c>
      <c r="Q96">
        <v>0.32500000000000001</v>
      </c>
      <c r="R96">
        <f t="shared" si="18"/>
        <v>98.438611720809718</v>
      </c>
      <c r="S96">
        <f t="shared" si="19"/>
        <v>0.73125000000000007</v>
      </c>
      <c r="T96">
        <f t="shared" si="14"/>
        <v>99.16986172080972</v>
      </c>
      <c r="U96">
        <f t="shared" si="21"/>
        <v>0</v>
      </c>
      <c r="V96">
        <f t="shared" si="21"/>
        <v>0</v>
      </c>
      <c r="W96">
        <f t="shared" si="21"/>
        <v>0.98363256691402823</v>
      </c>
      <c r="X96">
        <f t="shared" si="21"/>
        <v>0.95987564470751729</v>
      </c>
      <c r="Y96">
        <f t="shared" si="21"/>
        <v>0.93669250520372505</v>
      </c>
      <c r="Z96">
        <f t="shared" si="21"/>
        <v>0.91406929026955341</v>
      </c>
      <c r="AA96">
        <f t="shared" si="21"/>
        <v>0.89199247647675373</v>
      </c>
      <c r="AB96">
        <f t="shared" si="21"/>
        <v>0.87044886701805679</v>
      </c>
      <c r="AC96">
        <f t="shared" si="21"/>
        <v>0.84942558381854771</v>
      </c>
      <c r="AD96">
        <f t="shared" si="21"/>
        <v>0.82891005983756783</v>
      </c>
    </row>
    <row r="97" spans="2:30">
      <c r="B97">
        <v>1.175</v>
      </c>
      <c r="D97">
        <f t="shared" si="12"/>
        <v>0</v>
      </c>
      <c r="E97">
        <f t="shared" si="20"/>
        <v>0</v>
      </c>
      <c r="F97">
        <f t="shared" si="20"/>
        <v>2.25</v>
      </c>
      <c r="G97">
        <f t="shared" si="20"/>
        <v>2.25</v>
      </c>
      <c r="H97">
        <f t="shared" si="20"/>
        <v>2.25</v>
      </c>
      <c r="I97">
        <f t="shared" si="20"/>
        <v>2.25</v>
      </c>
      <c r="J97">
        <f t="shared" si="20"/>
        <v>2.25</v>
      </c>
      <c r="K97">
        <f t="shared" si="20"/>
        <v>2.25</v>
      </c>
      <c r="L97">
        <f t="shared" si="20"/>
        <v>2.25</v>
      </c>
      <c r="M97">
        <f t="shared" si="16"/>
        <v>102.25</v>
      </c>
      <c r="P97">
        <f t="shared" si="17"/>
        <v>1.175</v>
      </c>
      <c r="Q97">
        <v>0.35</v>
      </c>
      <c r="R97">
        <f t="shared" si="18"/>
        <v>98.442994555200798</v>
      </c>
      <c r="S97">
        <f t="shared" si="19"/>
        <v>0.78749999999999998</v>
      </c>
      <c r="T97">
        <f t="shared" si="14"/>
        <v>99.230494555200792</v>
      </c>
      <c r="U97">
        <f t="shared" si="21"/>
        <v>0</v>
      </c>
      <c r="V97">
        <f t="shared" si="21"/>
        <v>0</v>
      </c>
      <c r="W97">
        <f t="shared" si="21"/>
        <v>0.98423396364380566</v>
      </c>
      <c r="X97">
        <f t="shared" si="21"/>
        <v>0.96046251636380153</v>
      </c>
      <c r="Y97">
        <f t="shared" si="21"/>
        <v>0.93726520259946466</v>
      </c>
      <c r="Z97">
        <f t="shared" si="21"/>
        <v>0.91462815574478129</v>
      </c>
      <c r="AA97">
        <f t="shared" si="21"/>
        <v>0.89253784410322634</v>
      </c>
      <c r="AB97">
        <f t="shared" si="21"/>
        <v>0.87098106279895227</v>
      </c>
      <c r="AC97">
        <f t="shared" si="21"/>
        <v>0.84994492588333959</v>
      </c>
      <c r="AD97">
        <f t="shared" si="21"/>
        <v>0.82941685863219272</v>
      </c>
    </row>
    <row r="98" spans="2:30">
      <c r="B98">
        <v>1.1875</v>
      </c>
      <c r="D98">
        <f t="shared" si="12"/>
        <v>0</v>
      </c>
      <c r="E98">
        <f t="shared" si="20"/>
        <v>0</v>
      </c>
      <c r="F98">
        <f t="shared" si="20"/>
        <v>2.25</v>
      </c>
      <c r="G98">
        <f t="shared" si="20"/>
        <v>2.25</v>
      </c>
      <c r="H98">
        <f t="shared" si="20"/>
        <v>2.25</v>
      </c>
      <c r="I98">
        <f t="shared" si="20"/>
        <v>2.25</v>
      </c>
      <c r="J98">
        <f t="shared" si="20"/>
        <v>2.25</v>
      </c>
      <c r="K98">
        <f t="shared" si="20"/>
        <v>2.25</v>
      </c>
      <c r="L98">
        <f t="shared" si="20"/>
        <v>2.25</v>
      </c>
      <c r="M98">
        <f t="shared" si="16"/>
        <v>102.25</v>
      </c>
      <c r="P98">
        <f t="shared" si="17"/>
        <v>1.1875</v>
      </c>
      <c r="Q98">
        <v>0.375</v>
      </c>
      <c r="R98">
        <f t="shared" si="18"/>
        <v>98.447414460739722</v>
      </c>
      <c r="S98">
        <f t="shared" si="19"/>
        <v>0.84375</v>
      </c>
      <c r="T98">
        <f t="shared" si="14"/>
        <v>99.291164460739722</v>
      </c>
      <c r="U98">
        <f t="shared" si="21"/>
        <v>0</v>
      </c>
      <c r="V98">
        <f t="shared" si="21"/>
        <v>0</v>
      </c>
      <c r="W98">
        <f t="shared" si="21"/>
        <v>0.98483572806985353</v>
      </c>
      <c r="X98">
        <f t="shared" si="21"/>
        <v>0.96104974683567079</v>
      </c>
      <c r="Y98">
        <f t="shared" si="21"/>
        <v>0.9378382501445921</v>
      </c>
      <c r="Z98">
        <f t="shared" si="21"/>
        <v>0.91518736291250746</v>
      </c>
      <c r="AA98">
        <f t="shared" si="21"/>
        <v>0.89308354516956079</v>
      </c>
      <c r="AB98">
        <f t="shared" si="21"/>
        <v>0.87151358396639256</v>
      </c>
      <c r="AC98">
        <f t="shared" si="21"/>
        <v>0.8504645854758649</v>
      </c>
      <c r="AD98">
        <f t="shared" si="21"/>
        <v>0.82992396728554751</v>
      </c>
    </row>
    <row r="99" spans="2:30">
      <c r="B99">
        <v>1.2</v>
      </c>
      <c r="D99">
        <f t="shared" si="12"/>
        <v>0</v>
      </c>
      <c r="E99">
        <f t="shared" si="20"/>
        <v>0</v>
      </c>
      <c r="F99">
        <f t="shared" si="20"/>
        <v>2.25</v>
      </c>
      <c r="G99">
        <f t="shared" si="20"/>
        <v>2.25</v>
      </c>
      <c r="H99">
        <f t="shared" si="20"/>
        <v>2.25</v>
      </c>
      <c r="I99">
        <f t="shared" si="20"/>
        <v>2.25</v>
      </c>
      <c r="J99">
        <f t="shared" si="20"/>
        <v>2.25</v>
      </c>
      <c r="K99">
        <f t="shared" si="20"/>
        <v>2.25</v>
      </c>
      <c r="L99">
        <f t="shared" si="20"/>
        <v>2.25</v>
      </c>
      <c r="M99">
        <f t="shared" si="16"/>
        <v>102.25</v>
      </c>
      <c r="P99">
        <f t="shared" si="17"/>
        <v>1.2</v>
      </c>
      <c r="Q99">
        <v>0.4</v>
      </c>
      <c r="R99">
        <f t="shared" si="18"/>
        <v>98.451871460091937</v>
      </c>
      <c r="S99">
        <f t="shared" si="19"/>
        <v>0.9</v>
      </c>
      <c r="T99">
        <f t="shared" si="14"/>
        <v>99.351871460091942</v>
      </c>
      <c r="U99">
        <f t="shared" ref="U99:AD114" si="22">IF((1/(1+$O$3/2)^((U$2-$P99)*2))&lt;=1,1/(1+$O$3/2)^((U$2-$P99)*2),0)</f>
        <v>0</v>
      </c>
      <c r="V99">
        <f t="shared" si="22"/>
        <v>0</v>
      </c>
      <c r="W99">
        <f t="shared" si="22"/>
        <v>0.98543786041698334</v>
      </c>
      <c r="X99">
        <f t="shared" si="22"/>
        <v>0.96163733634250614</v>
      </c>
      <c r="Y99">
        <f t="shared" si="22"/>
        <v>0.93841164805318977</v>
      </c>
      <c r="Z99">
        <f t="shared" si="22"/>
        <v>0.91574691198164393</v>
      </c>
      <c r="AA99">
        <f t="shared" si="22"/>
        <v>0.89362957987962333</v>
      </c>
      <c r="AB99">
        <f t="shared" si="22"/>
        <v>0.87204643071932009</v>
      </c>
      <c r="AC99">
        <f t="shared" si="22"/>
        <v>0.85098456279026102</v>
      </c>
      <c r="AD99">
        <f t="shared" si="22"/>
        <v>0.83043138598708077</v>
      </c>
    </row>
    <row r="100" spans="2:30">
      <c r="B100">
        <v>1.2124999999999999</v>
      </c>
      <c r="D100">
        <f t="shared" si="12"/>
        <v>0</v>
      </c>
      <c r="E100">
        <f t="shared" si="20"/>
        <v>0</v>
      </c>
      <c r="F100">
        <f t="shared" si="20"/>
        <v>2.25</v>
      </c>
      <c r="G100">
        <f t="shared" si="20"/>
        <v>2.25</v>
      </c>
      <c r="H100">
        <f t="shared" si="20"/>
        <v>2.25</v>
      </c>
      <c r="I100">
        <f t="shared" si="20"/>
        <v>2.25</v>
      </c>
      <c r="J100">
        <f t="shared" si="20"/>
        <v>2.25</v>
      </c>
      <c r="K100">
        <f t="shared" si="20"/>
        <v>2.25</v>
      </c>
      <c r="L100">
        <f t="shared" si="20"/>
        <v>2.25</v>
      </c>
      <c r="M100">
        <f t="shared" si="16"/>
        <v>102.25</v>
      </c>
      <c r="P100">
        <f t="shared" si="17"/>
        <v>1.2124999999999999</v>
      </c>
      <c r="Q100">
        <v>0.42499999999999999</v>
      </c>
      <c r="R100">
        <f t="shared" si="18"/>
        <v>98.456365575936772</v>
      </c>
      <c r="S100">
        <f t="shared" si="19"/>
        <v>0.95624999999999993</v>
      </c>
      <c r="T100">
        <f t="shared" si="14"/>
        <v>99.412615575936769</v>
      </c>
      <c r="U100">
        <f t="shared" si="22"/>
        <v>0</v>
      </c>
      <c r="V100">
        <f t="shared" si="22"/>
        <v>0</v>
      </c>
      <c r="W100">
        <f t="shared" si="22"/>
        <v>0.98604036091014291</v>
      </c>
      <c r="X100">
        <f t="shared" si="22"/>
        <v>0.96222528510382321</v>
      </c>
      <c r="Y100">
        <f t="shared" si="22"/>
        <v>0.93898539653947122</v>
      </c>
      <c r="Z100">
        <f t="shared" si="22"/>
        <v>0.9163068031612307</v>
      </c>
      <c r="AA100">
        <f t="shared" si="22"/>
        <v>0.89417594843740489</v>
      </c>
      <c r="AB100">
        <f t="shared" si="22"/>
        <v>0.87257960325679917</v>
      </c>
      <c r="AC100">
        <f t="shared" si="22"/>
        <v>0.85150485802078468</v>
      </c>
      <c r="AD100">
        <f t="shared" si="22"/>
        <v>0.8309391149263573</v>
      </c>
    </row>
    <row r="101" spans="2:30">
      <c r="B101">
        <v>1.2250000000000001</v>
      </c>
      <c r="D101">
        <f t="shared" si="12"/>
        <v>0</v>
      </c>
      <c r="E101">
        <f t="shared" si="20"/>
        <v>0</v>
      </c>
      <c r="F101">
        <f t="shared" si="20"/>
        <v>2.25</v>
      </c>
      <c r="G101">
        <f t="shared" si="20"/>
        <v>2.25</v>
      </c>
      <c r="H101">
        <f t="shared" si="20"/>
        <v>2.25</v>
      </c>
      <c r="I101">
        <f t="shared" si="20"/>
        <v>2.25</v>
      </c>
      <c r="J101">
        <f t="shared" si="20"/>
        <v>2.25</v>
      </c>
      <c r="K101">
        <f t="shared" si="20"/>
        <v>2.25</v>
      </c>
      <c r="L101">
        <f t="shared" si="20"/>
        <v>2.25</v>
      </c>
      <c r="M101">
        <f t="shared" si="16"/>
        <v>102.25</v>
      </c>
      <c r="P101">
        <f t="shared" si="17"/>
        <v>1.2250000000000001</v>
      </c>
      <c r="Q101">
        <v>0.45</v>
      </c>
      <c r="R101">
        <f t="shared" si="18"/>
        <v>98.460896830967329</v>
      </c>
      <c r="S101">
        <f t="shared" si="19"/>
        <v>1.0125</v>
      </c>
      <c r="T101">
        <f t="shared" si="14"/>
        <v>99.473396830967332</v>
      </c>
      <c r="U101">
        <f t="shared" si="22"/>
        <v>0</v>
      </c>
      <c r="V101">
        <f t="shared" si="22"/>
        <v>0</v>
      </c>
      <c r="W101">
        <f t="shared" si="22"/>
        <v>0.98664322977441832</v>
      </c>
      <c r="X101">
        <f t="shared" si="22"/>
        <v>0.96281359333927141</v>
      </c>
      <c r="Y101">
        <f t="shared" si="22"/>
        <v>0.93955949581778131</v>
      </c>
      <c r="Z101">
        <f t="shared" si="22"/>
        <v>0.91686703666043545</v>
      </c>
      <c r="AA101">
        <f t="shared" si="22"/>
        <v>0.89472265104702164</v>
      </c>
      <c r="AB101">
        <f t="shared" si="22"/>
        <v>0.87311310177801571</v>
      </c>
      <c r="AC101">
        <f t="shared" si="22"/>
        <v>0.85202547136181084</v>
      </c>
      <c r="AD101">
        <f t="shared" si="22"/>
        <v>0.8314471542930576</v>
      </c>
    </row>
    <row r="102" spans="2:30">
      <c r="B102">
        <v>1.2375</v>
      </c>
      <c r="D102">
        <f t="shared" si="12"/>
        <v>0</v>
      </c>
      <c r="E102">
        <f t="shared" si="20"/>
        <v>0</v>
      </c>
      <c r="F102">
        <f t="shared" si="20"/>
        <v>2.25</v>
      </c>
      <c r="G102">
        <f t="shared" si="20"/>
        <v>2.25</v>
      </c>
      <c r="H102">
        <f t="shared" si="20"/>
        <v>2.25</v>
      </c>
      <c r="I102">
        <f t="shared" si="20"/>
        <v>2.25</v>
      </c>
      <c r="J102">
        <f t="shared" si="20"/>
        <v>2.25</v>
      </c>
      <c r="K102">
        <f t="shared" si="20"/>
        <v>2.25</v>
      </c>
      <c r="L102">
        <f t="shared" si="20"/>
        <v>2.25</v>
      </c>
      <c r="M102">
        <f t="shared" si="16"/>
        <v>102.25</v>
      </c>
      <c r="P102">
        <f t="shared" si="17"/>
        <v>1.2375</v>
      </c>
      <c r="Q102">
        <v>0.47499999999999998</v>
      </c>
      <c r="R102">
        <f t="shared" si="18"/>
        <v>98.465465247890705</v>
      </c>
      <c r="S102">
        <f t="shared" si="19"/>
        <v>1.0687499999999999</v>
      </c>
      <c r="T102">
        <f t="shared" si="14"/>
        <v>99.5342152478907</v>
      </c>
      <c r="U102">
        <f t="shared" si="22"/>
        <v>0</v>
      </c>
      <c r="V102">
        <f t="shared" si="22"/>
        <v>0</v>
      </c>
      <c r="W102">
        <f t="shared" si="22"/>
        <v>0.98724646723503318</v>
      </c>
      <c r="X102">
        <f t="shared" si="22"/>
        <v>0.96340226126863449</v>
      </c>
      <c r="Y102">
        <f t="shared" si="22"/>
        <v>0.94013394610259526</v>
      </c>
      <c r="Z102">
        <f t="shared" si="22"/>
        <v>0.91742761268855355</v>
      </c>
      <c r="AA102">
        <f t="shared" si="22"/>
        <v>0.89526968791271377</v>
      </c>
      <c r="AB102">
        <f t="shared" si="22"/>
        <v>0.87364692648227726</v>
      </c>
      <c r="AC102">
        <f t="shared" si="22"/>
        <v>0.85254640300783335</v>
      </c>
      <c r="AD102">
        <f t="shared" si="22"/>
        <v>0.83195550427697817</v>
      </c>
    </row>
    <row r="103" spans="2:30">
      <c r="B103">
        <v>1.25</v>
      </c>
      <c r="D103">
        <f t="shared" si="12"/>
        <v>0</v>
      </c>
      <c r="E103">
        <f t="shared" si="20"/>
        <v>0</v>
      </c>
      <c r="F103">
        <f t="shared" si="20"/>
        <v>2.25</v>
      </c>
      <c r="G103">
        <f t="shared" si="20"/>
        <v>2.25</v>
      </c>
      <c r="H103">
        <f t="shared" si="20"/>
        <v>2.25</v>
      </c>
      <c r="I103">
        <f t="shared" si="20"/>
        <v>2.25</v>
      </c>
      <c r="J103">
        <f t="shared" si="20"/>
        <v>2.25</v>
      </c>
      <c r="K103">
        <f t="shared" si="20"/>
        <v>2.25</v>
      </c>
      <c r="L103">
        <f t="shared" si="20"/>
        <v>2.25</v>
      </c>
      <c r="M103">
        <f t="shared" si="16"/>
        <v>102.25</v>
      </c>
      <c r="P103">
        <f t="shared" si="17"/>
        <v>1.25</v>
      </c>
      <c r="Q103">
        <v>0.5</v>
      </c>
      <c r="R103">
        <f t="shared" si="18"/>
        <v>98.470070849427799</v>
      </c>
      <c r="S103">
        <f t="shared" si="19"/>
        <v>1.125</v>
      </c>
      <c r="T103">
        <f t="shared" si="14"/>
        <v>99.595070849427799</v>
      </c>
      <c r="U103">
        <f t="shared" si="22"/>
        <v>0</v>
      </c>
      <c r="V103">
        <f t="shared" si="22"/>
        <v>0</v>
      </c>
      <c r="W103">
        <f t="shared" si="22"/>
        <v>0.98785007351734877</v>
      </c>
      <c r="X103">
        <f t="shared" si="22"/>
        <v>0.96399128911183096</v>
      </c>
      <c r="Y103">
        <f t="shared" si="22"/>
        <v>0.94070874760851986</v>
      </c>
      <c r="Z103">
        <f t="shared" si="22"/>
        <v>0.91798853145500836</v>
      </c>
      <c r="AA103">
        <f t="shared" si="22"/>
        <v>0.89581705923884691</v>
      </c>
      <c r="AB103">
        <f t="shared" si="22"/>
        <v>0.87418107756901375</v>
      </c>
      <c r="AC103">
        <f t="shared" si="22"/>
        <v>0.85306765315346555</v>
      </c>
      <c r="AD103">
        <f t="shared" si="22"/>
        <v>0.83246416506803156</v>
      </c>
    </row>
    <row r="104" spans="2:30">
      <c r="B104">
        <v>1.2625</v>
      </c>
      <c r="D104">
        <f t="shared" si="12"/>
        <v>0</v>
      </c>
      <c r="E104">
        <f t="shared" si="20"/>
        <v>0</v>
      </c>
      <c r="F104">
        <f t="shared" si="20"/>
        <v>2.25</v>
      </c>
      <c r="G104">
        <f t="shared" si="20"/>
        <v>2.25</v>
      </c>
      <c r="H104">
        <f t="shared" si="20"/>
        <v>2.25</v>
      </c>
      <c r="I104">
        <f t="shared" si="20"/>
        <v>2.25</v>
      </c>
      <c r="J104">
        <f t="shared" si="20"/>
        <v>2.25</v>
      </c>
      <c r="K104">
        <f t="shared" si="20"/>
        <v>2.25</v>
      </c>
      <c r="L104">
        <f t="shared" si="20"/>
        <v>2.25</v>
      </c>
      <c r="M104">
        <f t="shared" si="16"/>
        <v>102.25</v>
      </c>
      <c r="P104">
        <f t="shared" si="17"/>
        <v>1.2625</v>
      </c>
      <c r="Q104">
        <v>0.52500000000000002</v>
      </c>
      <c r="R104">
        <f t="shared" si="18"/>
        <v>98.474713658313448</v>
      </c>
      <c r="S104">
        <f t="shared" si="19"/>
        <v>1.1812500000000001</v>
      </c>
      <c r="T104">
        <f t="shared" si="14"/>
        <v>99.655963658313453</v>
      </c>
      <c r="U104">
        <f t="shared" si="22"/>
        <v>0</v>
      </c>
      <c r="V104">
        <f t="shared" si="22"/>
        <v>0</v>
      </c>
      <c r="W104">
        <f t="shared" si="22"/>
        <v>0.98845404884686383</v>
      </c>
      <c r="X104">
        <f t="shared" si="22"/>
        <v>0.96458067708891304</v>
      </c>
      <c r="Y104">
        <f t="shared" si="22"/>
        <v>0.94128390055029321</v>
      </c>
      <c r="Z104">
        <f t="shared" si="22"/>
        <v>0.91854979316935181</v>
      </c>
      <c r="AA104">
        <f t="shared" si="22"/>
        <v>0.89636476522991149</v>
      </c>
      <c r="AB104">
        <f t="shared" si="22"/>
        <v>0.87471555523777633</v>
      </c>
      <c r="AC104">
        <f t="shared" si="22"/>
        <v>0.85358922199343878</v>
      </c>
      <c r="AD104">
        <f t="shared" si="22"/>
        <v>0.83297313685624663</v>
      </c>
    </row>
    <row r="105" spans="2:30">
      <c r="B105">
        <v>1.2749999999999999</v>
      </c>
      <c r="D105">
        <f t="shared" si="12"/>
        <v>0</v>
      </c>
      <c r="E105">
        <f t="shared" si="20"/>
        <v>0</v>
      </c>
      <c r="F105">
        <f t="shared" si="20"/>
        <v>2.25</v>
      </c>
      <c r="G105">
        <f t="shared" si="20"/>
        <v>2.25</v>
      </c>
      <c r="H105">
        <f t="shared" si="20"/>
        <v>2.25</v>
      </c>
      <c r="I105">
        <f t="shared" si="20"/>
        <v>2.25</v>
      </c>
      <c r="J105">
        <f t="shared" si="20"/>
        <v>2.25</v>
      </c>
      <c r="K105">
        <f t="shared" si="20"/>
        <v>2.25</v>
      </c>
      <c r="L105">
        <f t="shared" si="20"/>
        <v>2.25</v>
      </c>
      <c r="M105">
        <f t="shared" si="16"/>
        <v>102.25</v>
      </c>
      <c r="P105">
        <f t="shared" si="17"/>
        <v>1.2749999999999999</v>
      </c>
      <c r="Q105">
        <v>0.55000000000000004</v>
      </c>
      <c r="R105">
        <f t="shared" si="18"/>
        <v>98.479393697296345</v>
      </c>
      <c r="S105">
        <f t="shared" si="19"/>
        <v>1.2375</v>
      </c>
      <c r="T105">
        <f t="shared" si="14"/>
        <v>99.716893697296342</v>
      </c>
      <c r="U105">
        <f t="shared" si="22"/>
        <v>0</v>
      </c>
      <c r="V105">
        <f t="shared" si="22"/>
        <v>0</v>
      </c>
      <c r="W105">
        <f t="shared" si="22"/>
        <v>0.98905839344921531</v>
      </c>
      <c r="X105">
        <f t="shared" si="22"/>
        <v>0.96517042542006859</v>
      </c>
      <c r="Y105">
        <f t="shared" si="22"/>
        <v>0.94185940514278454</v>
      </c>
      <c r="Z105">
        <f t="shared" si="22"/>
        <v>0.91911139804126329</v>
      </c>
      <c r="AA105">
        <f t="shared" si="22"/>
        <v>0.89691280609052282</v>
      </c>
      <c r="AB105">
        <f t="shared" si="22"/>
        <v>0.87525035968823883</v>
      </c>
      <c r="AC105">
        <f t="shared" si="22"/>
        <v>0.8541111097226044</v>
      </c>
      <c r="AD105">
        <f t="shared" si="22"/>
        <v>0.83348241983176796</v>
      </c>
    </row>
    <row r="106" spans="2:30">
      <c r="B106">
        <v>1.2875000000000001</v>
      </c>
      <c r="D106">
        <f t="shared" si="12"/>
        <v>0</v>
      </c>
      <c r="E106">
        <f t="shared" si="20"/>
        <v>0</v>
      </c>
      <c r="F106">
        <f t="shared" si="20"/>
        <v>2.25</v>
      </c>
      <c r="G106">
        <f t="shared" si="20"/>
        <v>2.25</v>
      </c>
      <c r="H106">
        <f t="shared" si="20"/>
        <v>2.25</v>
      </c>
      <c r="I106">
        <f t="shared" si="20"/>
        <v>2.25</v>
      </c>
      <c r="J106">
        <f t="shared" si="20"/>
        <v>2.25</v>
      </c>
      <c r="K106">
        <f t="shared" si="20"/>
        <v>2.25</v>
      </c>
      <c r="L106">
        <f t="shared" si="20"/>
        <v>2.25</v>
      </c>
      <c r="M106">
        <f t="shared" si="16"/>
        <v>102.25</v>
      </c>
      <c r="P106">
        <f t="shared" si="17"/>
        <v>1.2875000000000001</v>
      </c>
      <c r="Q106">
        <v>0.57499999999999996</v>
      </c>
      <c r="R106">
        <f t="shared" si="18"/>
        <v>98.484110989139126</v>
      </c>
      <c r="S106">
        <f t="shared" si="19"/>
        <v>1.29375</v>
      </c>
      <c r="T106">
        <f t="shared" si="14"/>
        <v>99.777860989139128</v>
      </c>
      <c r="U106">
        <f t="shared" si="22"/>
        <v>0</v>
      </c>
      <c r="V106">
        <f t="shared" si="22"/>
        <v>0</v>
      </c>
      <c r="W106">
        <f t="shared" si="22"/>
        <v>0.98966310755017817</v>
      </c>
      <c r="X106">
        <f t="shared" si="22"/>
        <v>0.96576053432561904</v>
      </c>
      <c r="Y106">
        <f t="shared" si="22"/>
        <v>0.94243526160099433</v>
      </c>
      <c r="Z106">
        <f t="shared" si="22"/>
        <v>0.91967334628055075</v>
      </c>
      <c r="AA106">
        <f t="shared" si="22"/>
        <v>0.89746118202542147</v>
      </c>
      <c r="AB106">
        <f t="shared" si="22"/>
        <v>0.87578549112019655</v>
      </c>
      <c r="AC106">
        <f t="shared" si="22"/>
        <v>0.85463331653593222</v>
      </c>
      <c r="AD106">
        <f t="shared" si="22"/>
        <v>0.83399201418485691</v>
      </c>
    </row>
    <row r="107" spans="2:30">
      <c r="B107">
        <v>1.3</v>
      </c>
      <c r="D107">
        <f t="shared" si="12"/>
        <v>0</v>
      </c>
      <c r="E107">
        <f t="shared" si="20"/>
        <v>0</v>
      </c>
      <c r="F107">
        <f t="shared" si="20"/>
        <v>2.25</v>
      </c>
      <c r="G107">
        <f t="shared" si="20"/>
        <v>2.25</v>
      </c>
      <c r="H107">
        <f t="shared" si="20"/>
        <v>2.25</v>
      </c>
      <c r="I107">
        <f t="shared" si="20"/>
        <v>2.25</v>
      </c>
      <c r="J107">
        <f t="shared" si="20"/>
        <v>2.25</v>
      </c>
      <c r="K107">
        <f t="shared" si="20"/>
        <v>2.25</v>
      </c>
      <c r="L107">
        <f t="shared" si="20"/>
        <v>2.25</v>
      </c>
      <c r="M107">
        <f t="shared" si="16"/>
        <v>102.25</v>
      </c>
      <c r="P107">
        <f t="shared" si="17"/>
        <v>1.3</v>
      </c>
      <c r="Q107">
        <v>0.6</v>
      </c>
      <c r="R107">
        <f t="shared" si="18"/>
        <v>98.488865556618336</v>
      </c>
      <c r="S107">
        <f t="shared" si="19"/>
        <v>1.3499999999999999</v>
      </c>
      <c r="T107">
        <f t="shared" si="14"/>
        <v>99.83886555661833</v>
      </c>
      <c r="U107">
        <f t="shared" si="22"/>
        <v>0</v>
      </c>
      <c r="V107">
        <f t="shared" si="22"/>
        <v>0</v>
      </c>
      <c r="W107">
        <f t="shared" si="22"/>
        <v>0.99026819137566513</v>
      </c>
      <c r="X107">
        <f t="shared" si="22"/>
        <v>0.96635100402602103</v>
      </c>
      <c r="Y107">
        <f t="shared" si="22"/>
        <v>0.94301147014005482</v>
      </c>
      <c r="Z107">
        <f t="shared" si="22"/>
        <v>0.92023563809715014</v>
      </c>
      <c r="AA107">
        <f t="shared" si="22"/>
        <v>0.89800989323947311</v>
      </c>
      <c r="AB107">
        <f t="shared" si="22"/>
        <v>0.87632094973356733</v>
      </c>
      <c r="AC107">
        <f t="shared" si="22"/>
        <v>0.85515584262851163</v>
      </c>
      <c r="AD107">
        <f t="shared" si="22"/>
        <v>0.83450192010589075</v>
      </c>
    </row>
    <row r="108" spans="2:30">
      <c r="B108">
        <v>1.3125</v>
      </c>
      <c r="D108">
        <f t="shared" si="12"/>
        <v>0</v>
      </c>
      <c r="E108">
        <f t="shared" si="20"/>
        <v>0</v>
      </c>
      <c r="F108">
        <f t="shared" si="20"/>
        <v>2.25</v>
      </c>
      <c r="G108">
        <f t="shared" si="20"/>
        <v>2.25</v>
      </c>
      <c r="H108">
        <f t="shared" si="20"/>
        <v>2.25</v>
      </c>
      <c r="I108">
        <f t="shared" si="20"/>
        <v>2.25</v>
      </c>
      <c r="J108">
        <f t="shared" si="20"/>
        <v>2.25</v>
      </c>
      <c r="K108">
        <f t="shared" si="20"/>
        <v>2.25</v>
      </c>
      <c r="L108">
        <f t="shared" si="20"/>
        <v>2.25</v>
      </c>
      <c r="M108">
        <f t="shared" si="16"/>
        <v>102.25</v>
      </c>
      <c r="P108">
        <f t="shared" si="17"/>
        <v>1.3125</v>
      </c>
      <c r="Q108">
        <v>0.625</v>
      </c>
      <c r="R108">
        <f t="shared" si="18"/>
        <v>98.493657422524421</v>
      </c>
      <c r="S108">
        <f t="shared" si="19"/>
        <v>1.40625</v>
      </c>
      <c r="T108">
        <f t="shared" si="14"/>
        <v>99.899907422524421</v>
      </c>
      <c r="U108">
        <f t="shared" si="22"/>
        <v>0</v>
      </c>
      <c r="V108">
        <f t="shared" si="22"/>
        <v>0</v>
      </c>
      <c r="W108">
        <f t="shared" si="22"/>
        <v>0.99087364515172727</v>
      </c>
      <c r="X108">
        <f t="shared" si="22"/>
        <v>0.96694183474186624</v>
      </c>
      <c r="Y108">
        <f t="shared" si="22"/>
        <v>0.94358803097522914</v>
      </c>
      <c r="Z108">
        <f t="shared" si="22"/>
        <v>0.92079827370112621</v>
      </c>
      <c r="AA108">
        <f t="shared" si="22"/>
        <v>0.89855893993766889</v>
      </c>
      <c r="AB108">
        <f t="shared" si="22"/>
        <v>0.87685673572839107</v>
      </c>
      <c r="AC108">
        <f t="shared" si="22"/>
        <v>0.85567868819555115</v>
      </c>
      <c r="AD108">
        <f t="shared" si="22"/>
        <v>0.83501213778536343</v>
      </c>
    </row>
    <row r="109" spans="2:30">
      <c r="B109">
        <v>1.325</v>
      </c>
      <c r="D109">
        <f t="shared" si="12"/>
        <v>0</v>
      </c>
      <c r="E109">
        <f t="shared" si="20"/>
        <v>0</v>
      </c>
      <c r="F109">
        <f t="shared" si="20"/>
        <v>2.25</v>
      </c>
      <c r="G109">
        <f t="shared" si="20"/>
        <v>2.25</v>
      </c>
      <c r="H109">
        <f t="shared" ref="E109:L141" si="23">IF($B109&lt;=H$2,100*$D$1/2,0)</f>
        <v>2.25</v>
      </c>
      <c r="I109">
        <f t="shared" si="23"/>
        <v>2.25</v>
      </c>
      <c r="J109">
        <f t="shared" si="23"/>
        <v>2.25</v>
      </c>
      <c r="K109">
        <f t="shared" si="23"/>
        <v>2.25</v>
      </c>
      <c r="L109">
        <f t="shared" si="23"/>
        <v>2.25</v>
      </c>
      <c r="M109">
        <f t="shared" si="16"/>
        <v>102.25</v>
      </c>
      <c r="P109">
        <f t="shared" si="17"/>
        <v>1.325</v>
      </c>
      <c r="Q109">
        <v>0.65</v>
      </c>
      <c r="R109">
        <f t="shared" si="18"/>
        <v>98.498486609661796</v>
      </c>
      <c r="S109">
        <f t="shared" si="19"/>
        <v>1.4625000000000001</v>
      </c>
      <c r="T109">
        <f t="shared" si="14"/>
        <v>99.960986609661802</v>
      </c>
      <c r="U109">
        <f t="shared" si="22"/>
        <v>0</v>
      </c>
      <c r="V109">
        <f t="shared" si="22"/>
        <v>0</v>
      </c>
      <c r="W109">
        <f t="shared" si="22"/>
        <v>0.99147946910455398</v>
      </c>
      <c r="X109">
        <f t="shared" si="22"/>
        <v>0.96753302669388042</v>
      </c>
      <c r="Y109">
        <f t="shared" si="22"/>
        <v>0.94416494432191289</v>
      </c>
      <c r="Z109">
        <f t="shared" si="22"/>
        <v>0.92136125330267171</v>
      </c>
      <c r="AA109">
        <f t="shared" si="22"/>
        <v>0.89910832232512494</v>
      </c>
      <c r="AB109">
        <f t="shared" si="22"/>
        <v>0.8773928493048303</v>
      </c>
      <c r="AC109">
        <f t="shared" si="22"/>
        <v>0.85620185343237887</v>
      </c>
      <c r="AD109">
        <f t="shared" si="22"/>
        <v>0.83552266741388515</v>
      </c>
    </row>
    <row r="110" spans="2:30">
      <c r="B110">
        <v>1.3374999999999999</v>
      </c>
      <c r="D110">
        <f t="shared" ref="D110:D173" si="24">IF($B110&lt;=D$2,100*$D$1/2,0)</f>
        <v>0</v>
      </c>
      <c r="E110">
        <f t="shared" si="23"/>
        <v>0</v>
      </c>
      <c r="F110">
        <f t="shared" si="23"/>
        <v>2.25</v>
      </c>
      <c r="G110">
        <f t="shared" si="23"/>
        <v>2.25</v>
      </c>
      <c r="H110">
        <f t="shared" si="23"/>
        <v>2.25</v>
      </c>
      <c r="I110">
        <f t="shared" si="23"/>
        <v>2.25</v>
      </c>
      <c r="J110">
        <f t="shared" si="23"/>
        <v>2.25</v>
      </c>
      <c r="K110">
        <f t="shared" si="23"/>
        <v>2.25</v>
      </c>
      <c r="L110">
        <f t="shared" si="23"/>
        <v>2.25</v>
      </c>
      <c r="M110">
        <f t="shared" si="16"/>
        <v>102.25</v>
      </c>
      <c r="P110">
        <f t="shared" si="17"/>
        <v>1.3374999999999999</v>
      </c>
      <c r="Q110">
        <v>0.67500000000000004</v>
      </c>
      <c r="R110">
        <f t="shared" si="18"/>
        <v>98.50335314084883</v>
      </c>
      <c r="S110">
        <f t="shared" si="19"/>
        <v>1.51875</v>
      </c>
      <c r="T110">
        <f t="shared" si="14"/>
        <v>100.02210314084883</v>
      </c>
      <c r="U110">
        <f t="shared" si="22"/>
        <v>0</v>
      </c>
      <c r="V110">
        <f t="shared" si="22"/>
        <v>0</v>
      </c>
      <c r="W110">
        <f t="shared" si="22"/>
        <v>0.99208566346047244</v>
      </c>
      <c r="X110">
        <f t="shared" si="22"/>
        <v>0.9681245801029249</v>
      </c>
      <c r="Y110">
        <f t="shared" si="22"/>
        <v>0.94474221039563289</v>
      </c>
      <c r="Z110">
        <f t="shared" si="22"/>
        <v>0.92192457711210829</v>
      </c>
      <c r="AA110">
        <f t="shared" si="22"/>
        <v>0.89965804060708299</v>
      </c>
      <c r="AB110">
        <f t="shared" si="22"/>
        <v>0.87792929066316927</v>
      </c>
      <c r="AC110">
        <f t="shared" si="22"/>
        <v>0.85672533853444188</v>
      </c>
      <c r="AD110">
        <f t="shared" si="22"/>
        <v>0.83603350918218289</v>
      </c>
    </row>
    <row r="111" spans="2:30">
      <c r="B111">
        <v>1.35</v>
      </c>
      <c r="D111">
        <f t="shared" si="24"/>
        <v>0</v>
      </c>
      <c r="E111">
        <f t="shared" si="23"/>
        <v>0</v>
      </c>
      <c r="F111">
        <f t="shared" si="23"/>
        <v>2.25</v>
      </c>
      <c r="G111">
        <f t="shared" si="23"/>
        <v>2.25</v>
      </c>
      <c r="H111">
        <f t="shared" si="23"/>
        <v>2.25</v>
      </c>
      <c r="I111">
        <f t="shared" si="23"/>
        <v>2.25</v>
      </c>
      <c r="J111">
        <f t="shared" si="23"/>
        <v>2.25</v>
      </c>
      <c r="K111">
        <f t="shared" si="23"/>
        <v>2.25</v>
      </c>
      <c r="L111">
        <f t="shared" si="23"/>
        <v>2.25</v>
      </c>
      <c r="M111">
        <f t="shared" si="16"/>
        <v>102.25</v>
      </c>
      <c r="P111">
        <f t="shared" si="17"/>
        <v>1.35</v>
      </c>
      <c r="Q111">
        <v>0.7</v>
      </c>
      <c r="R111">
        <f t="shared" si="18"/>
        <v>98.508257038917762</v>
      </c>
      <c r="S111">
        <f t="shared" si="19"/>
        <v>1.575</v>
      </c>
      <c r="T111">
        <f t="shared" si="14"/>
        <v>100.08325703891776</v>
      </c>
      <c r="U111">
        <f t="shared" si="22"/>
        <v>0</v>
      </c>
      <c r="V111">
        <f t="shared" si="22"/>
        <v>0</v>
      </c>
      <c r="W111">
        <f t="shared" si="22"/>
        <v>0.99269222844594862</v>
      </c>
      <c r="X111">
        <f t="shared" si="22"/>
        <v>0.96871649518999625</v>
      </c>
      <c r="Y111">
        <f t="shared" si="22"/>
        <v>0.94531982941204795</v>
      </c>
      <c r="Z111">
        <f t="shared" si="22"/>
        <v>0.9224882453398856</v>
      </c>
      <c r="AA111">
        <f t="shared" si="22"/>
        <v>0.90020809498891008</v>
      </c>
      <c r="AB111">
        <f t="shared" si="22"/>
        <v>0.87846606000381566</v>
      </c>
      <c r="AC111">
        <f t="shared" si="22"/>
        <v>0.8572491436973072</v>
      </c>
      <c r="AD111">
        <f t="shared" si="22"/>
        <v>0.83654466328109989</v>
      </c>
    </row>
    <row r="112" spans="2:30">
      <c r="B112">
        <v>1.3625</v>
      </c>
      <c r="D112">
        <f t="shared" si="24"/>
        <v>0</v>
      </c>
      <c r="E112">
        <f t="shared" si="23"/>
        <v>0</v>
      </c>
      <c r="F112">
        <f t="shared" si="23"/>
        <v>2.25</v>
      </c>
      <c r="G112">
        <f t="shared" si="23"/>
        <v>2.25</v>
      </c>
      <c r="H112">
        <f t="shared" si="23"/>
        <v>2.25</v>
      </c>
      <c r="I112">
        <f t="shared" si="23"/>
        <v>2.25</v>
      </c>
      <c r="J112">
        <f t="shared" si="23"/>
        <v>2.25</v>
      </c>
      <c r="K112">
        <f t="shared" si="23"/>
        <v>2.25</v>
      </c>
      <c r="L112">
        <f t="shared" si="23"/>
        <v>2.25</v>
      </c>
      <c r="M112">
        <f t="shared" si="16"/>
        <v>102.25</v>
      </c>
      <c r="P112">
        <f t="shared" si="17"/>
        <v>1.3625</v>
      </c>
      <c r="Q112">
        <v>0.72499999999999998</v>
      </c>
      <c r="R112">
        <f t="shared" si="18"/>
        <v>98.513198326714914</v>
      </c>
      <c r="S112">
        <f t="shared" si="19"/>
        <v>1.6312499999999999</v>
      </c>
      <c r="T112">
        <f t="shared" si="14"/>
        <v>100.14444832671491</v>
      </c>
      <c r="U112">
        <f t="shared" si="22"/>
        <v>0</v>
      </c>
      <c r="V112">
        <f t="shared" si="22"/>
        <v>0</v>
      </c>
      <c r="W112">
        <f t="shared" si="22"/>
        <v>0.9932991642875868</v>
      </c>
      <c r="X112">
        <f t="shared" si="22"/>
        <v>0.96930877217622513</v>
      </c>
      <c r="Y112">
        <f t="shared" si="22"/>
        <v>0.94589780158694814</v>
      </c>
      <c r="Z112">
        <f t="shared" si="22"/>
        <v>0.92305225819658276</v>
      </c>
      <c r="AA112">
        <f t="shared" si="22"/>
        <v>0.90075848567609917</v>
      </c>
      <c r="AB112">
        <f t="shared" si="22"/>
        <v>0.87900315752729852</v>
      </c>
      <c r="AC112">
        <f t="shared" si="22"/>
        <v>0.85777326911666107</v>
      </c>
      <c r="AD112">
        <f t="shared" si="22"/>
        <v>0.8370561299015965</v>
      </c>
    </row>
    <row r="113" spans="2:30">
      <c r="B113">
        <v>1.375</v>
      </c>
      <c r="D113">
        <f t="shared" si="24"/>
        <v>0</v>
      </c>
      <c r="E113">
        <f t="shared" si="23"/>
        <v>0</v>
      </c>
      <c r="F113">
        <f t="shared" si="23"/>
        <v>2.25</v>
      </c>
      <c r="G113">
        <f t="shared" si="23"/>
        <v>2.25</v>
      </c>
      <c r="H113">
        <f t="shared" si="23"/>
        <v>2.25</v>
      </c>
      <c r="I113">
        <f t="shared" si="23"/>
        <v>2.25</v>
      </c>
      <c r="J113">
        <f t="shared" si="23"/>
        <v>2.25</v>
      </c>
      <c r="K113">
        <f t="shared" si="23"/>
        <v>2.25</v>
      </c>
      <c r="L113">
        <f t="shared" si="23"/>
        <v>2.25</v>
      </c>
      <c r="M113">
        <f t="shared" si="16"/>
        <v>102.25</v>
      </c>
      <c r="P113">
        <f t="shared" si="17"/>
        <v>1.375</v>
      </c>
      <c r="Q113">
        <v>0.75</v>
      </c>
      <c r="R113">
        <f t="shared" si="18"/>
        <v>98.518177027100435</v>
      </c>
      <c r="S113">
        <f t="shared" si="19"/>
        <v>1.6875</v>
      </c>
      <c r="T113">
        <f t="shared" si="14"/>
        <v>100.20567702710044</v>
      </c>
      <c r="U113">
        <f t="shared" si="22"/>
        <v>0</v>
      </c>
      <c r="V113">
        <f t="shared" si="22"/>
        <v>0</v>
      </c>
      <c r="W113">
        <f t="shared" si="22"/>
        <v>0.99390647121212994</v>
      </c>
      <c r="X113">
        <f t="shared" si="22"/>
        <v>0.96990141128287866</v>
      </c>
      <c r="Y113">
        <f t="shared" si="22"/>
        <v>0.94647612713625628</v>
      </c>
      <c r="Z113">
        <f t="shared" si="22"/>
        <v>0.92361661589290689</v>
      </c>
      <c r="AA113">
        <f t="shared" si="22"/>
        <v>0.90130921287426868</v>
      </c>
      <c r="AB113">
        <f t="shared" si="22"/>
        <v>0.87954058343427033</v>
      </c>
      <c r="AC113">
        <f t="shared" si="22"/>
        <v>0.85829771498830976</v>
      </c>
      <c r="AD113">
        <f t="shared" si="22"/>
        <v>0.83756790923474955</v>
      </c>
    </row>
    <row r="114" spans="2:30">
      <c r="B114">
        <v>1.3875</v>
      </c>
      <c r="D114">
        <f t="shared" si="24"/>
        <v>0</v>
      </c>
      <c r="E114">
        <f t="shared" si="23"/>
        <v>0</v>
      </c>
      <c r="F114">
        <f t="shared" si="23"/>
        <v>2.25</v>
      </c>
      <c r="G114">
        <f t="shared" si="23"/>
        <v>2.25</v>
      </c>
      <c r="H114">
        <f t="shared" si="23"/>
        <v>2.25</v>
      </c>
      <c r="I114">
        <f t="shared" si="23"/>
        <v>2.25</v>
      </c>
      <c r="J114">
        <f t="shared" si="23"/>
        <v>2.25</v>
      </c>
      <c r="K114">
        <f t="shared" si="23"/>
        <v>2.25</v>
      </c>
      <c r="L114">
        <f t="shared" si="23"/>
        <v>2.25</v>
      </c>
      <c r="M114">
        <f t="shared" si="16"/>
        <v>102.25</v>
      </c>
      <c r="P114">
        <f t="shared" si="17"/>
        <v>1.3875</v>
      </c>
      <c r="Q114">
        <v>0.77500000000000002</v>
      </c>
      <c r="R114">
        <f t="shared" si="18"/>
        <v>98.523193162948587</v>
      </c>
      <c r="S114">
        <f t="shared" si="19"/>
        <v>1.7437500000000001</v>
      </c>
      <c r="T114">
        <f t="shared" si="14"/>
        <v>100.26694316294859</v>
      </c>
      <c r="U114">
        <f t="shared" si="22"/>
        <v>0</v>
      </c>
      <c r="V114">
        <f t="shared" si="22"/>
        <v>0</v>
      </c>
      <c r="W114">
        <f t="shared" si="22"/>
        <v>0.99451414944645966</v>
      </c>
      <c r="X114">
        <f t="shared" si="22"/>
        <v>0.9704944127313585</v>
      </c>
      <c r="Y114">
        <f t="shared" si="22"/>
        <v>0.94705480627602689</v>
      </c>
      <c r="Z114">
        <f t="shared" si="22"/>
        <v>0.92418131863969444</v>
      </c>
      <c r="AA114">
        <f t="shared" si="22"/>
        <v>0.90186027678916258</v>
      </c>
      <c r="AB114">
        <f t="shared" si="22"/>
        <v>0.88007833792550627</v>
      </c>
      <c r="AC114">
        <f t="shared" si="22"/>
        <v>0.85882248150817875</v>
      </c>
      <c r="AD114">
        <f t="shared" si="22"/>
        <v>0.83808000147175288</v>
      </c>
    </row>
    <row r="115" spans="2:30">
      <c r="B115">
        <v>1.4</v>
      </c>
      <c r="D115">
        <f t="shared" si="24"/>
        <v>0</v>
      </c>
      <c r="E115">
        <f t="shared" si="23"/>
        <v>0</v>
      </c>
      <c r="F115">
        <f t="shared" si="23"/>
        <v>2.25</v>
      </c>
      <c r="G115">
        <f t="shared" si="23"/>
        <v>2.25</v>
      </c>
      <c r="H115">
        <f t="shared" si="23"/>
        <v>2.25</v>
      </c>
      <c r="I115">
        <f t="shared" si="23"/>
        <v>2.25</v>
      </c>
      <c r="J115">
        <f t="shared" si="23"/>
        <v>2.25</v>
      </c>
      <c r="K115">
        <f t="shared" si="23"/>
        <v>2.25</v>
      </c>
      <c r="L115">
        <f t="shared" si="23"/>
        <v>2.25</v>
      </c>
      <c r="M115">
        <f t="shared" si="16"/>
        <v>102.25</v>
      </c>
      <c r="P115">
        <f t="shared" si="17"/>
        <v>1.4</v>
      </c>
      <c r="Q115">
        <v>0.8</v>
      </c>
      <c r="R115">
        <f t="shared" si="18"/>
        <v>98.528246757147556</v>
      </c>
      <c r="S115">
        <f t="shared" si="19"/>
        <v>1.8</v>
      </c>
      <c r="T115">
        <f t="shared" si="14"/>
        <v>100.32824675714755</v>
      </c>
      <c r="U115">
        <f t="shared" ref="U115:AD130" si="25">IF((1/(1+$O$3/2)^((U$2-$P115)*2))&lt;=1,1/(1+$O$3/2)^((U$2-$P115)*2),0)</f>
        <v>0</v>
      </c>
      <c r="V115">
        <f t="shared" si="25"/>
        <v>0</v>
      </c>
      <c r="W115">
        <f t="shared" si="25"/>
        <v>0.99512219921759615</v>
      </c>
      <c r="X115">
        <f t="shared" si="25"/>
        <v>0.9710877767432019</v>
      </c>
      <c r="Y115">
        <f t="shared" si="25"/>
        <v>0.94763383922244637</v>
      </c>
      <c r="Z115">
        <f t="shared" si="25"/>
        <v>0.92474636664791043</v>
      </c>
      <c r="AA115">
        <f t="shared" si="25"/>
        <v>0.90241167762665087</v>
      </c>
      <c r="AB115">
        <f t="shared" si="25"/>
        <v>0.88061642120190364</v>
      </c>
      <c r="AC115">
        <f t="shared" si="25"/>
        <v>0.85934756887231378</v>
      </c>
      <c r="AD115">
        <f t="shared" si="25"/>
        <v>0.83859240680391689</v>
      </c>
    </row>
    <row r="116" spans="2:30">
      <c r="B116">
        <v>1.4125000000000001</v>
      </c>
      <c r="D116">
        <f t="shared" si="24"/>
        <v>0</v>
      </c>
      <c r="E116">
        <f t="shared" si="23"/>
        <v>0</v>
      </c>
      <c r="F116">
        <f t="shared" si="23"/>
        <v>2.25</v>
      </c>
      <c r="G116">
        <f t="shared" si="23"/>
        <v>2.25</v>
      </c>
      <c r="H116">
        <f t="shared" si="23"/>
        <v>2.25</v>
      </c>
      <c r="I116">
        <f t="shared" si="23"/>
        <v>2.25</v>
      </c>
      <c r="J116">
        <f t="shared" si="23"/>
        <v>2.25</v>
      </c>
      <c r="K116">
        <f t="shared" si="23"/>
        <v>2.25</v>
      </c>
      <c r="L116">
        <f t="shared" si="23"/>
        <v>2.25</v>
      </c>
      <c r="M116">
        <f t="shared" si="16"/>
        <v>102.25</v>
      </c>
      <c r="P116">
        <f t="shared" si="17"/>
        <v>1.4125000000000001</v>
      </c>
      <c r="Q116">
        <v>0.82499999999999996</v>
      </c>
      <c r="R116">
        <f t="shared" si="18"/>
        <v>98.533337832599472</v>
      </c>
      <c r="S116">
        <f t="shared" si="19"/>
        <v>1.85625</v>
      </c>
      <c r="T116">
        <f t="shared" si="14"/>
        <v>100.38958783259947</v>
      </c>
      <c r="U116">
        <f t="shared" si="25"/>
        <v>0</v>
      </c>
      <c r="V116">
        <f t="shared" si="25"/>
        <v>0</v>
      </c>
      <c r="W116">
        <f t="shared" si="25"/>
        <v>0.99573062075269825</v>
      </c>
      <c r="X116">
        <f t="shared" si="25"/>
        <v>0.97168150354008131</v>
      </c>
      <c r="Y116">
        <f t="shared" si="25"/>
        <v>0.94821322619183335</v>
      </c>
      <c r="Z116">
        <f t="shared" si="25"/>
        <v>0.92531176012864924</v>
      </c>
      <c r="AA116">
        <f t="shared" si="25"/>
        <v>0.90296341559272919</v>
      </c>
      <c r="AB116">
        <f t="shared" si="25"/>
        <v>0.88115483346448309</v>
      </c>
      <c r="AC116">
        <f t="shared" si="25"/>
        <v>0.85987297727688017</v>
      </c>
      <c r="AD116">
        <f t="shared" si="25"/>
        <v>0.83910512542266924</v>
      </c>
    </row>
    <row r="117" spans="2:30">
      <c r="B117">
        <v>1.425</v>
      </c>
      <c r="D117">
        <f t="shared" si="24"/>
        <v>0</v>
      </c>
      <c r="E117">
        <f t="shared" si="23"/>
        <v>0</v>
      </c>
      <c r="F117">
        <f t="shared" si="23"/>
        <v>2.25</v>
      </c>
      <c r="G117">
        <f t="shared" si="23"/>
        <v>2.25</v>
      </c>
      <c r="H117">
        <f t="shared" si="23"/>
        <v>2.25</v>
      </c>
      <c r="I117">
        <f t="shared" si="23"/>
        <v>2.25</v>
      </c>
      <c r="J117">
        <f t="shared" si="23"/>
        <v>2.25</v>
      </c>
      <c r="K117">
        <f t="shared" si="23"/>
        <v>2.25</v>
      </c>
      <c r="L117">
        <f t="shared" si="23"/>
        <v>2.25</v>
      </c>
      <c r="M117">
        <f t="shared" si="16"/>
        <v>102.25</v>
      </c>
      <c r="P117">
        <f t="shared" si="17"/>
        <v>1.425</v>
      </c>
      <c r="Q117">
        <v>0.85</v>
      </c>
      <c r="R117">
        <f t="shared" si="18"/>
        <v>98.538466412220558</v>
      </c>
      <c r="S117">
        <f t="shared" si="19"/>
        <v>1.9124999999999999</v>
      </c>
      <c r="T117">
        <f t="shared" si="14"/>
        <v>100.45096641222055</v>
      </c>
      <c r="U117">
        <f t="shared" si="25"/>
        <v>0</v>
      </c>
      <c r="V117">
        <f t="shared" si="25"/>
        <v>0</v>
      </c>
      <c r="W117">
        <f t="shared" si="25"/>
        <v>0.99633941427906403</v>
      </c>
      <c r="X117">
        <f t="shared" si="25"/>
        <v>0.97227559334380487</v>
      </c>
      <c r="Y117">
        <f t="shared" si="25"/>
        <v>0.94879296740063901</v>
      </c>
      <c r="Z117">
        <f t="shared" si="25"/>
        <v>0.9258774992931339</v>
      </c>
      <c r="AA117">
        <f t="shared" si="25"/>
        <v>0.90351549089351935</v>
      </c>
      <c r="AB117">
        <f t="shared" si="25"/>
        <v>0.88169357491438816</v>
      </c>
      <c r="AC117">
        <f t="shared" si="25"/>
        <v>0.86039870691816356</v>
      </c>
      <c r="AD117">
        <f t="shared" si="25"/>
        <v>0.8396181575195546</v>
      </c>
    </row>
    <row r="118" spans="2:30">
      <c r="B118">
        <v>1.4375</v>
      </c>
      <c r="D118">
        <f t="shared" si="24"/>
        <v>0</v>
      </c>
      <c r="E118">
        <f t="shared" si="23"/>
        <v>0</v>
      </c>
      <c r="F118">
        <f t="shared" si="23"/>
        <v>2.25</v>
      </c>
      <c r="G118">
        <f t="shared" si="23"/>
        <v>2.25</v>
      </c>
      <c r="H118">
        <f t="shared" si="23"/>
        <v>2.25</v>
      </c>
      <c r="I118">
        <f t="shared" si="23"/>
        <v>2.25</v>
      </c>
      <c r="J118">
        <f t="shared" si="23"/>
        <v>2.25</v>
      </c>
      <c r="K118">
        <f t="shared" si="23"/>
        <v>2.25</v>
      </c>
      <c r="L118">
        <f t="shared" si="23"/>
        <v>2.25</v>
      </c>
      <c r="M118">
        <f t="shared" si="16"/>
        <v>102.25</v>
      </c>
      <c r="P118">
        <f t="shared" si="17"/>
        <v>1.4375</v>
      </c>
      <c r="Q118">
        <v>0.875</v>
      </c>
      <c r="R118">
        <f t="shared" si="18"/>
        <v>98.543632518940981</v>
      </c>
      <c r="S118">
        <f t="shared" si="19"/>
        <v>1.96875</v>
      </c>
      <c r="T118">
        <f t="shared" si="14"/>
        <v>100.51238251894098</v>
      </c>
      <c r="U118">
        <f t="shared" si="25"/>
        <v>0</v>
      </c>
      <c r="V118">
        <f t="shared" si="25"/>
        <v>0</v>
      </c>
      <c r="W118">
        <f t="shared" si="25"/>
        <v>0.99694858002413034</v>
      </c>
      <c r="X118">
        <f t="shared" si="25"/>
        <v>0.97287004637631658</v>
      </c>
      <c r="Y118">
        <f t="shared" si="25"/>
        <v>0.94937306306544678</v>
      </c>
      <c r="Z118">
        <f t="shared" si="25"/>
        <v>0.9264435843527169</v>
      </c>
      <c r="AA118">
        <f t="shared" si="25"/>
        <v>0.90406790373526902</v>
      </c>
      <c r="AB118">
        <f t="shared" si="25"/>
        <v>0.88223264575288507</v>
      </c>
      <c r="AC118">
        <f t="shared" si="25"/>
        <v>0.86092475799256885</v>
      </c>
      <c r="AD118">
        <f t="shared" si="25"/>
        <v>0.84013150328623454</v>
      </c>
    </row>
    <row r="119" spans="2:30">
      <c r="B119">
        <v>1.45</v>
      </c>
      <c r="D119">
        <f t="shared" si="24"/>
        <v>0</v>
      </c>
      <c r="E119">
        <f t="shared" si="23"/>
        <v>0</v>
      </c>
      <c r="F119">
        <f t="shared" si="23"/>
        <v>2.25</v>
      </c>
      <c r="G119">
        <f t="shared" si="23"/>
        <v>2.25</v>
      </c>
      <c r="H119">
        <f t="shared" si="23"/>
        <v>2.25</v>
      </c>
      <c r="I119">
        <f t="shared" si="23"/>
        <v>2.25</v>
      </c>
      <c r="J119">
        <f t="shared" si="23"/>
        <v>2.25</v>
      </c>
      <c r="K119">
        <f t="shared" si="23"/>
        <v>2.25</v>
      </c>
      <c r="L119">
        <f t="shared" si="23"/>
        <v>2.25</v>
      </c>
      <c r="M119">
        <f t="shared" si="16"/>
        <v>102.25</v>
      </c>
      <c r="P119">
        <f t="shared" si="17"/>
        <v>1.45</v>
      </c>
      <c r="Q119">
        <v>0.9</v>
      </c>
      <c r="R119">
        <f t="shared" si="18"/>
        <v>98.548836175704963</v>
      </c>
      <c r="S119">
        <f t="shared" si="19"/>
        <v>2.0249999999999999</v>
      </c>
      <c r="T119">
        <f t="shared" si="14"/>
        <v>100.57383617570497</v>
      </c>
      <c r="U119">
        <f t="shared" si="25"/>
        <v>0</v>
      </c>
      <c r="V119">
        <f t="shared" si="25"/>
        <v>0</v>
      </c>
      <c r="W119">
        <f t="shared" si="25"/>
        <v>0.99755811821547324</v>
      </c>
      <c r="X119">
        <f t="shared" si="25"/>
        <v>0.9734648628596958</v>
      </c>
      <c r="Y119">
        <f t="shared" si="25"/>
        <v>0.94995351340297218</v>
      </c>
      <c r="Z119">
        <f t="shared" si="25"/>
        <v>0.92701001551887985</v>
      </c>
      <c r="AA119">
        <f t="shared" si="25"/>
        <v>0.90462065432435201</v>
      </c>
      <c r="AB119">
        <f t="shared" si="25"/>
        <v>0.88277204618136329</v>
      </c>
      <c r="AC119">
        <f t="shared" si="25"/>
        <v>0.86145113069662183</v>
      </c>
      <c r="AD119">
        <f t="shared" si="25"/>
        <v>0.84064516291448821</v>
      </c>
    </row>
    <row r="120" spans="2:30">
      <c r="B120">
        <v>1.4624999999999999</v>
      </c>
      <c r="D120">
        <f t="shared" si="24"/>
        <v>0</v>
      </c>
      <c r="E120">
        <f t="shared" si="23"/>
        <v>0</v>
      </c>
      <c r="F120">
        <f t="shared" si="23"/>
        <v>2.25</v>
      </c>
      <c r="G120">
        <f t="shared" si="23"/>
        <v>2.25</v>
      </c>
      <c r="H120">
        <f t="shared" si="23"/>
        <v>2.25</v>
      </c>
      <c r="I120">
        <f t="shared" si="23"/>
        <v>2.25</v>
      </c>
      <c r="J120">
        <f t="shared" si="23"/>
        <v>2.25</v>
      </c>
      <c r="K120">
        <f t="shared" si="23"/>
        <v>2.25</v>
      </c>
      <c r="L120">
        <f t="shared" si="23"/>
        <v>2.25</v>
      </c>
      <c r="M120">
        <f t="shared" si="16"/>
        <v>102.25</v>
      </c>
      <c r="P120">
        <f t="shared" si="17"/>
        <v>1.4624999999999999</v>
      </c>
      <c r="Q120">
        <v>0.92500000000000004</v>
      </c>
      <c r="R120">
        <f t="shared" si="18"/>
        <v>98.554077405470778</v>
      </c>
      <c r="S120">
        <f t="shared" si="19"/>
        <v>2.0812500000000003</v>
      </c>
      <c r="T120">
        <f t="shared" si="14"/>
        <v>100.63532740547078</v>
      </c>
      <c r="U120">
        <f t="shared" si="25"/>
        <v>0</v>
      </c>
      <c r="V120">
        <f t="shared" si="25"/>
        <v>0</v>
      </c>
      <c r="W120">
        <f t="shared" si="25"/>
        <v>0.99816802908080771</v>
      </c>
      <c r="X120">
        <f t="shared" si="25"/>
        <v>0.97406004301615767</v>
      </c>
      <c r="Y120">
        <f t="shared" si="25"/>
        <v>0.95053431863006366</v>
      </c>
      <c r="Z120">
        <f t="shared" si="25"/>
        <v>0.92757679300323359</v>
      </c>
      <c r="AA120">
        <f t="shared" si="25"/>
        <v>0.90517374286726848</v>
      </c>
      <c r="AB120">
        <f t="shared" si="25"/>
        <v>0.8833117764013354</v>
      </c>
      <c r="AC120">
        <f t="shared" si="25"/>
        <v>0.86197782522696798</v>
      </c>
      <c r="AD120">
        <f t="shared" si="25"/>
        <v>0.84115913659621178</v>
      </c>
    </row>
    <row r="121" spans="2:30">
      <c r="B121">
        <v>1.4750000000000001</v>
      </c>
      <c r="D121">
        <f t="shared" si="24"/>
        <v>0</v>
      </c>
      <c r="E121">
        <f t="shared" si="23"/>
        <v>0</v>
      </c>
      <c r="F121">
        <f t="shared" si="23"/>
        <v>2.25</v>
      </c>
      <c r="G121">
        <f t="shared" si="23"/>
        <v>2.25</v>
      </c>
      <c r="H121">
        <f t="shared" si="23"/>
        <v>2.25</v>
      </c>
      <c r="I121">
        <f t="shared" si="23"/>
        <v>2.25</v>
      </c>
      <c r="J121">
        <f t="shared" si="23"/>
        <v>2.25</v>
      </c>
      <c r="K121">
        <f t="shared" si="23"/>
        <v>2.25</v>
      </c>
      <c r="L121">
        <f t="shared" si="23"/>
        <v>2.25</v>
      </c>
      <c r="M121">
        <f t="shared" si="16"/>
        <v>102.25</v>
      </c>
      <c r="P121">
        <f t="shared" si="17"/>
        <v>1.4750000000000001</v>
      </c>
      <c r="Q121">
        <v>0.95</v>
      </c>
      <c r="R121">
        <f t="shared" si="18"/>
        <v>98.559356231210643</v>
      </c>
      <c r="S121">
        <f t="shared" si="19"/>
        <v>2.1374999999999997</v>
      </c>
      <c r="T121">
        <f t="shared" si="14"/>
        <v>100.69685623121065</v>
      </c>
      <c r="U121">
        <f t="shared" si="25"/>
        <v>0</v>
      </c>
      <c r="V121">
        <f t="shared" si="25"/>
        <v>0</v>
      </c>
      <c r="W121">
        <f t="shared" si="25"/>
        <v>0.9987783128479879</v>
      </c>
      <c r="X121">
        <f t="shared" si="25"/>
        <v>0.97465558706805366</v>
      </c>
      <c r="Y121">
        <f t="shared" si="25"/>
        <v>0.95111547896370197</v>
      </c>
      <c r="Z121">
        <f t="shared" si="25"/>
        <v>0.92814391701751819</v>
      </c>
      <c r="AA121">
        <f t="shared" si="25"/>
        <v>0.9057271695706447</v>
      </c>
      <c r="AB121">
        <f t="shared" si="25"/>
        <v>0.88385183661443734</v>
      </c>
      <c r="AC121">
        <f t="shared" si="25"/>
        <v>0.86250484178037301</v>
      </c>
      <c r="AD121">
        <f t="shared" si="25"/>
        <v>0.84167342452341842</v>
      </c>
    </row>
    <row r="122" spans="2:30">
      <c r="B122">
        <v>1.4875</v>
      </c>
      <c r="D122">
        <f t="shared" si="24"/>
        <v>0</v>
      </c>
      <c r="E122">
        <f t="shared" si="23"/>
        <v>0</v>
      </c>
      <c r="F122">
        <f t="shared" si="23"/>
        <v>2.25</v>
      </c>
      <c r="G122">
        <f t="shared" si="23"/>
        <v>2.25</v>
      </c>
      <c r="H122">
        <f t="shared" si="23"/>
        <v>2.25</v>
      </c>
      <c r="I122">
        <f t="shared" si="23"/>
        <v>2.25</v>
      </c>
      <c r="J122">
        <f t="shared" si="23"/>
        <v>2.25</v>
      </c>
      <c r="K122">
        <f t="shared" si="23"/>
        <v>2.25</v>
      </c>
      <c r="L122">
        <f t="shared" si="23"/>
        <v>2.25</v>
      </c>
      <c r="M122">
        <f t="shared" si="16"/>
        <v>102.25</v>
      </c>
      <c r="P122">
        <f t="shared" si="17"/>
        <v>1.4875</v>
      </c>
      <c r="Q122">
        <v>0.97499999999999998</v>
      </c>
      <c r="R122">
        <f t="shared" si="18"/>
        <v>98.564672675910941</v>
      </c>
      <c r="S122">
        <f t="shared" si="19"/>
        <v>2.1937500000000001</v>
      </c>
      <c r="T122">
        <f t="shared" si="14"/>
        <v>100.75842267591094</v>
      </c>
      <c r="U122">
        <f t="shared" si="25"/>
        <v>0</v>
      </c>
      <c r="V122">
        <f t="shared" si="25"/>
        <v>0</v>
      </c>
      <c r="W122">
        <f t="shared" si="25"/>
        <v>0.99938896974500779</v>
      </c>
      <c r="X122">
        <f t="shared" si="25"/>
        <v>0.97525149523787025</v>
      </c>
      <c r="Y122">
        <f t="shared" si="25"/>
        <v>0.95169699462100066</v>
      </c>
      <c r="Z122">
        <f t="shared" si="25"/>
        <v>0.92871138777360385</v>
      </c>
      <c r="AA122">
        <f t="shared" si="25"/>
        <v>0.90628093464123316</v>
      </c>
      <c r="AB122">
        <f t="shared" si="25"/>
        <v>0.88439222702242815</v>
      </c>
      <c r="AC122">
        <f t="shared" si="25"/>
        <v>0.86303218055372344</v>
      </c>
      <c r="AD122">
        <f t="shared" si="25"/>
        <v>0.84218802688823946</v>
      </c>
    </row>
    <row r="123" spans="2:30">
      <c r="B123">
        <v>1.5</v>
      </c>
      <c r="D123">
        <f t="shared" si="24"/>
        <v>0</v>
      </c>
      <c r="E123">
        <f t="shared" si="23"/>
        <v>0</v>
      </c>
      <c r="F123">
        <f t="shared" si="23"/>
        <v>2.25</v>
      </c>
      <c r="G123">
        <f t="shared" si="23"/>
        <v>2.25</v>
      </c>
      <c r="H123">
        <f t="shared" si="23"/>
        <v>2.25</v>
      </c>
      <c r="I123">
        <f t="shared" si="23"/>
        <v>2.25</v>
      </c>
      <c r="J123">
        <f t="shared" si="23"/>
        <v>2.25</v>
      </c>
      <c r="K123">
        <f t="shared" si="23"/>
        <v>2.25</v>
      </c>
      <c r="L123">
        <f t="shared" si="23"/>
        <v>2.25</v>
      </c>
      <c r="M123">
        <f t="shared" si="16"/>
        <v>102.25</v>
      </c>
      <c r="P123">
        <f t="shared" si="17"/>
        <v>1.5</v>
      </c>
      <c r="Q123">
        <v>1</v>
      </c>
      <c r="R123">
        <f t="shared" si="18"/>
        <v>98.570026762572013</v>
      </c>
      <c r="S123">
        <f t="shared" si="19"/>
        <v>2.25</v>
      </c>
      <c r="T123">
        <f t="shared" si="14"/>
        <v>100.82002676257201</v>
      </c>
      <c r="U123">
        <f t="shared" si="25"/>
        <v>0</v>
      </c>
      <c r="V123">
        <f t="shared" si="25"/>
        <v>0</v>
      </c>
      <c r="W123">
        <f t="shared" si="25"/>
        <v>1</v>
      </c>
      <c r="X123">
        <f t="shared" si="25"/>
        <v>0.97584776774823123</v>
      </c>
      <c r="Y123">
        <f t="shared" si="25"/>
        <v>0.95227886581920584</v>
      </c>
      <c r="Z123">
        <f t="shared" si="25"/>
        <v>0.92927920548348952</v>
      </c>
      <c r="AA123">
        <f t="shared" si="25"/>
        <v>0.90683503828591316</v>
      </c>
      <c r="AB123">
        <f t="shared" si="25"/>
        <v>0.88493294782719012</v>
      </c>
      <c r="AC123">
        <f t="shared" si="25"/>
        <v>0.86355984174402556</v>
      </c>
      <c r="AD123">
        <f t="shared" si="25"/>
        <v>0.84270294388292311</v>
      </c>
    </row>
    <row r="124" spans="2:30">
      <c r="B124">
        <v>1.5125</v>
      </c>
      <c r="D124">
        <f t="shared" si="24"/>
        <v>0</v>
      </c>
      <c r="E124">
        <f t="shared" si="23"/>
        <v>0</v>
      </c>
      <c r="F124">
        <f t="shared" si="23"/>
        <v>0</v>
      </c>
      <c r="G124">
        <f t="shared" si="23"/>
        <v>2.25</v>
      </c>
      <c r="H124">
        <f t="shared" si="23"/>
        <v>2.25</v>
      </c>
      <c r="I124">
        <f t="shared" si="23"/>
        <v>2.25</v>
      </c>
      <c r="J124">
        <f t="shared" si="23"/>
        <v>2.25</v>
      </c>
      <c r="K124">
        <f t="shared" si="23"/>
        <v>2.25</v>
      </c>
      <c r="L124">
        <f t="shared" si="23"/>
        <v>2.25</v>
      </c>
      <c r="M124">
        <f t="shared" si="16"/>
        <v>102.25</v>
      </c>
      <c r="P124">
        <f t="shared" si="17"/>
        <v>1.5125</v>
      </c>
      <c r="Q124">
        <v>2.5000000000000001E-2</v>
      </c>
      <c r="R124">
        <f t="shared" si="18"/>
        <v>98.574042855565494</v>
      </c>
      <c r="S124">
        <f t="shared" si="19"/>
        <v>5.6250000000000001E-2</v>
      </c>
      <c r="T124">
        <f t="shared" si="14"/>
        <v>98.6302928555655</v>
      </c>
      <c r="U124">
        <f t="shared" si="25"/>
        <v>0</v>
      </c>
      <c r="V124">
        <f t="shared" si="25"/>
        <v>0</v>
      </c>
      <c r="W124">
        <f t="shared" si="25"/>
        <v>0</v>
      </c>
      <c r="X124">
        <f t="shared" si="25"/>
        <v>0.97644440482189543</v>
      </c>
      <c r="Y124">
        <f t="shared" si="25"/>
        <v>0.95286109277569686</v>
      </c>
      <c r="Z124">
        <f t="shared" si="25"/>
        <v>0.92984737035930409</v>
      </c>
      <c r="AA124">
        <f t="shared" si="25"/>
        <v>0.90738948071168957</v>
      </c>
      <c r="AB124">
        <f t="shared" si="25"/>
        <v>0.885473999230729</v>
      </c>
      <c r="AC124">
        <f t="shared" si="25"/>
        <v>0.86408782554840602</v>
      </c>
      <c r="AD124">
        <f t="shared" si="25"/>
        <v>0.84321817569983493</v>
      </c>
    </row>
    <row r="125" spans="2:30">
      <c r="B125">
        <v>1.5249999999999999</v>
      </c>
      <c r="D125">
        <f t="shared" si="24"/>
        <v>0</v>
      </c>
      <c r="E125">
        <f t="shared" si="23"/>
        <v>0</v>
      </c>
      <c r="F125">
        <f t="shared" si="23"/>
        <v>0</v>
      </c>
      <c r="G125">
        <f t="shared" si="23"/>
        <v>2.25</v>
      </c>
      <c r="H125">
        <f t="shared" si="23"/>
        <v>2.25</v>
      </c>
      <c r="I125">
        <f t="shared" si="23"/>
        <v>2.25</v>
      </c>
      <c r="J125">
        <f t="shared" si="23"/>
        <v>2.25</v>
      </c>
      <c r="K125">
        <f t="shared" si="23"/>
        <v>2.25</v>
      </c>
      <c r="L125">
        <f t="shared" si="23"/>
        <v>2.25</v>
      </c>
      <c r="M125">
        <f t="shared" si="16"/>
        <v>102.25</v>
      </c>
      <c r="P125">
        <f t="shared" si="17"/>
        <v>1.5249999999999999</v>
      </c>
      <c r="Q125">
        <v>0.05</v>
      </c>
      <c r="R125">
        <f t="shared" si="18"/>
        <v>98.57809579547974</v>
      </c>
      <c r="S125">
        <f t="shared" si="19"/>
        <v>0.1125</v>
      </c>
      <c r="T125">
        <f t="shared" si="14"/>
        <v>98.690595795479737</v>
      </c>
      <c r="U125">
        <f t="shared" si="25"/>
        <v>0</v>
      </c>
      <c r="V125">
        <f t="shared" si="25"/>
        <v>0</v>
      </c>
      <c r="W125">
        <f t="shared" si="25"/>
        <v>0</v>
      </c>
      <c r="X125">
        <f t="shared" si="25"/>
        <v>0.9770414066817581</v>
      </c>
      <c r="Y125">
        <f t="shared" si="25"/>
        <v>0.95344367570798538</v>
      </c>
      <c r="Z125">
        <f t="shared" si="25"/>
        <v>0.9304158826133061</v>
      </c>
      <c r="AA125">
        <f t="shared" si="25"/>
        <v>0.90794426212569501</v>
      </c>
      <c r="AB125">
        <f t="shared" si="25"/>
        <v>0.88601538143517433</v>
      </c>
      <c r="AC125">
        <f t="shared" si="25"/>
        <v>0.86461613216411259</v>
      </c>
      <c r="AD125">
        <f t="shared" si="25"/>
        <v>0.84373372253145895</v>
      </c>
    </row>
    <row r="126" spans="2:30">
      <c r="B126">
        <v>1.5375000000000001</v>
      </c>
      <c r="D126">
        <f t="shared" si="24"/>
        <v>0</v>
      </c>
      <c r="E126">
        <f t="shared" si="23"/>
        <v>0</v>
      </c>
      <c r="F126">
        <f t="shared" si="23"/>
        <v>0</v>
      </c>
      <c r="G126">
        <f t="shared" si="23"/>
        <v>2.25</v>
      </c>
      <c r="H126">
        <f t="shared" si="23"/>
        <v>2.25</v>
      </c>
      <c r="I126">
        <f t="shared" si="23"/>
        <v>2.25</v>
      </c>
      <c r="J126">
        <f t="shared" si="23"/>
        <v>2.25</v>
      </c>
      <c r="K126">
        <f t="shared" si="23"/>
        <v>2.25</v>
      </c>
      <c r="L126">
        <f t="shared" si="23"/>
        <v>2.25</v>
      </c>
      <c r="M126">
        <f t="shared" si="16"/>
        <v>102.25</v>
      </c>
      <c r="P126">
        <f t="shared" si="17"/>
        <v>1.5375000000000001</v>
      </c>
      <c r="Q126">
        <v>7.4999999999999997E-2</v>
      </c>
      <c r="R126">
        <f t="shared" si="18"/>
        <v>98.582185604843104</v>
      </c>
      <c r="S126">
        <f t="shared" si="19"/>
        <v>0.16874999999999998</v>
      </c>
      <c r="T126">
        <f t="shared" si="14"/>
        <v>98.750935604843107</v>
      </c>
      <c r="U126">
        <f t="shared" si="25"/>
        <v>0</v>
      </c>
      <c r="V126">
        <f t="shared" si="25"/>
        <v>0</v>
      </c>
      <c r="W126">
        <f t="shared" si="25"/>
        <v>0</v>
      </c>
      <c r="X126">
        <f t="shared" si="25"/>
        <v>0.97763877355085138</v>
      </c>
      <c r="Y126">
        <f t="shared" si="25"/>
        <v>0.95402661483371676</v>
      </c>
      <c r="Z126">
        <f t="shared" si="25"/>
        <v>0.9309847424578841</v>
      </c>
      <c r="AA126">
        <f t="shared" si="25"/>
        <v>0.90849938273518804</v>
      </c>
      <c r="AB126">
        <f t="shared" si="25"/>
        <v>0.88655709464277921</v>
      </c>
      <c r="AC126">
        <f t="shared" si="25"/>
        <v>0.86514476178851352</v>
      </c>
      <c r="AD126">
        <f t="shared" si="25"/>
        <v>0.84424958457039612</v>
      </c>
    </row>
    <row r="127" spans="2:30">
      <c r="B127">
        <v>1.55</v>
      </c>
      <c r="D127">
        <f t="shared" si="24"/>
        <v>0</v>
      </c>
      <c r="E127">
        <f t="shared" si="23"/>
        <v>0</v>
      </c>
      <c r="F127">
        <f t="shared" si="23"/>
        <v>0</v>
      </c>
      <c r="G127">
        <f t="shared" si="23"/>
        <v>2.25</v>
      </c>
      <c r="H127">
        <f t="shared" si="23"/>
        <v>2.25</v>
      </c>
      <c r="I127">
        <f t="shared" si="23"/>
        <v>2.25</v>
      </c>
      <c r="J127">
        <f t="shared" si="23"/>
        <v>2.25</v>
      </c>
      <c r="K127">
        <f t="shared" si="23"/>
        <v>2.25</v>
      </c>
      <c r="L127">
        <f t="shared" si="23"/>
        <v>2.25</v>
      </c>
      <c r="M127">
        <f t="shared" si="16"/>
        <v>102.25</v>
      </c>
      <c r="P127">
        <f t="shared" si="17"/>
        <v>1.55</v>
      </c>
      <c r="Q127">
        <v>0.1</v>
      </c>
      <c r="R127">
        <f t="shared" si="18"/>
        <v>98.586312306197684</v>
      </c>
      <c r="S127">
        <f t="shared" si="19"/>
        <v>0.22500000000000001</v>
      </c>
      <c r="T127">
        <f t="shared" si="14"/>
        <v>98.811312306197678</v>
      </c>
      <c r="U127">
        <f t="shared" si="25"/>
        <v>0</v>
      </c>
      <c r="V127">
        <f t="shared" si="25"/>
        <v>0</v>
      </c>
      <c r="W127">
        <f t="shared" si="25"/>
        <v>0</v>
      </c>
      <c r="X127">
        <f t="shared" si="25"/>
        <v>0.97823650565234288</v>
      </c>
      <c r="Y127">
        <f t="shared" si="25"/>
        <v>0.95460991037066867</v>
      </c>
      <c r="Z127">
        <f t="shared" si="25"/>
        <v>0.93155395010555608</v>
      </c>
      <c r="AA127">
        <f t="shared" si="25"/>
        <v>0.90905484274755399</v>
      </c>
      <c r="AB127">
        <f t="shared" si="25"/>
        <v>0.88709913905591997</v>
      </c>
      <c r="AC127">
        <f t="shared" si="25"/>
        <v>0.86567371461909726</v>
      </c>
      <c r="AD127">
        <f t="shared" si="25"/>
        <v>0.84476576200936548</v>
      </c>
    </row>
    <row r="128" spans="2:30">
      <c r="B128">
        <v>1.5625</v>
      </c>
      <c r="D128">
        <f t="shared" si="24"/>
        <v>0</v>
      </c>
      <c r="E128">
        <f t="shared" si="23"/>
        <v>0</v>
      </c>
      <c r="F128">
        <f t="shared" si="23"/>
        <v>0</v>
      </c>
      <c r="G128">
        <f t="shared" si="23"/>
        <v>2.25</v>
      </c>
      <c r="H128">
        <f t="shared" si="23"/>
        <v>2.25</v>
      </c>
      <c r="I128">
        <f t="shared" si="23"/>
        <v>2.25</v>
      </c>
      <c r="J128">
        <f t="shared" si="23"/>
        <v>2.25</v>
      </c>
      <c r="K128">
        <f t="shared" si="23"/>
        <v>2.25</v>
      </c>
      <c r="L128">
        <f t="shared" si="23"/>
        <v>2.25</v>
      </c>
      <c r="M128">
        <f t="shared" si="16"/>
        <v>102.25</v>
      </c>
      <c r="P128">
        <f t="shared" si="17"/>
        <v>1.5625</v>
      </c>
      <c r="Q128">
        <v>0.125</v>
      </c>
      <c r="R128">
        <f t="shared" si="18"/>
        <v>98.590475922099401</v>
      </c>
      <c r="S128">
        <f t="shared" si="19"/>
        <v>0.28125</v>
      </c>
      <c r="T128">
        <f t="shared" si="14"/>
        <v>98.871725922099401</v>
      </c>
      <c r="U128">
        <f t="shared" si="25"/>
        <v>0</v>
      </c>
      <c r="V128">
        <f t="shared" si="25"/>
        <v>0</v>
      </c>
      <c r="W128">
        <f t="shared" si="25"/>
        <v>0</v>
      </c>
      <c r="X128">
        <f t="shared" si="25"/>
        <v>0.97883460320953708</v>
      </c>
      <c r="Y128">
        <f t="shared" si="25"/>
        <v>0.95519356253675247</v>
      </c>
      <c r="Z128">
        <f t="shared" si="25"/>
        <v>0.93212350576897052</v>
      </c>
      <c r="AA128">
        <f t="shared" si="25"/>
        <v>0.90961064237030542</v>
      </c>
      <c r="AB128">
        <f t="shared" si="25"/>
        <v>0.88764151487709708</v>
      </c>
      <c r="AC128">
        <f t="shared" si="25"/>
        <v>0.86620299085347352</v>
      </c>
      <c r="AD128">
        <f t="shared" si="25"/>
        <v>0.8452822550412038</v>
      </c>
    </row>
    <row r="129" spans="2:30">
      <c r="B129">
        <v>1.575</v>
      </c>
      <c r="D129">
        <f t="shared" si="24"/>
        <v>0</v>
      </c>
      <c r="E129">
        <f t="shared" si="23"/>
        <v>0</v>
      </c>
      <c r="F129">
        <f t="shared" si="23"/>
        <v>0</v>
      </c>
      <c r="G129">
        <f t="shared" si="23"/>
        <v>2.25</v>
      </c>
      <c r="H129">
        <f t="shared" si="23"/>
        <v>2.25</v>
      </c>
      <c r="I129">
        <f t="shared" si="23"/>
        <v>2.25</v>
      </c>
      <c r="J129">
        <f t="shared" si="23"/>
        <v>2.25</v>
      </c>
      <c r="K129">
        <f t="shared" si="23"/>
        <v>2.25</v>
      </c>
      <c r="L129">
        <f t="shared" si="23"/>
        <v>2.25</v>
      </c>
      <c r="M129">
        <f t="shared" si="16"/>
        <v>102.25</v>
      </c>
      <c r="P129">
        <f t="shared" si="17"/>
        <v>1.575</v>
      </c>
      <c r="Q129">
        <v>0.15</v>
      </c>
      <c r="R129">
        <f t="shared" si="18"/>
        <v>98.594676475117922</v>
      </c>
      <c r="S129">
        <f t="shared" si="19"/>
        <v>0.33749999999999997</v>
      </c>
      <c r="T129">
        <f t="shared" si="14"/>
        <v>98.932176475117927</v>
      </c>
      <c r="U129">
        <f t="shared" si="25"/>
        <v>0</v>
      </c>
      <c r="V129">
        <f t="shared" si="25"/>
        <v>0</v>
      </c>
      <c r="W129">
        <f t="shared" si="25"/>
        <v>0</v>
      </c>
      <c r="X129">
        <f t="shared" si="25"/>
        <v>0.97943306644587558</v>
      </c>
      <c r="Y129">
        <f t="shared" si="25"/>
        <v>0.95577757155001264</v>
      </c>
      <c r="Z129">
        <f t="shared" si="25"/>
        <v>0.93269340966090508</v>
      </c>
      <c r="AA129">
        <f t="shared" si="25"/>
        <v>0.91016678181108079</v>
      </c>
      <c r="AB129">
        <f t="shared" si="25"/>
        <v>0.88818422230893457</v>
      </c>
      <c r="AC129">
        <f t="shared" si="25"/>
        <v>0.8667325906893727</v>
      </c>
      <c r="AD129">
        <f t="shared" si="25"/>
        <v>0.84579906385886561</v>
      </c>
    </row>
    <row r="130" spans="2:30">
      <c r="B130">
        <v>1.5874999999999999</v>
      </c>
      <c r="D130">
        <f t="shared" si="24"/>
        <v>0</v>
      </c>
      <c r="E130">
        <f t="shared" si="23"/>
        <v>0</v>
      </c>
      <c r="F130">
        <f t="shared" si="23"/>
        <v>0</v>
      </c>
      <c r="G130">
        <f t="shared" si="23"/>
        <v>2.25</v>
      </c>
      <c r="H130">
        <f t="shared" si="23"/>
        <v>2.25</v>
      </c>
      <c r="I130">
        <f t="shared" si="23"/>
        <v>2.25</v>
      </c>
      <c r="J130">
        <f t="shared" si="23"/>
        <v>2.25</v>
      </c>
      <c r="K130">
        <f t="shared" si="23"/>
        <v>2.25</v>
      </c>
      <c r="L130">
        <f t="shared" si="23"/>
        <v>2.25</v>
      </c>
      <c r="M130">
        <f t="shared" si="16"/>
        <v>102.25</v>
      </c>
      <c r="P130">
        <f t="shared" si="17"/>
        <v>1.5874999999999999</v>
      </c>
      <c r="Q130">
        <v>0.17499999999999999</v>
      </c>
      <c r="R130">
        <f t="shared" si="18"/>
        <v>98.598913987836781</v>
      </c>
      <c r="S130">
        <f t="shared" si="19"/>
        <v>0.39374999999999999</v>
      </c>
      <c r="T130">
        <f t="shared" si="14"/>
        <v>98.992663987836778</v>
      </c>
      <c r="U130">
        <f t="shared" si="25"/>
        <v>0</v>
      </c>
      <c r="V130">
        <f t="shared" si="25"/>
        <v>0</v>
      </c>
      <c r="W130">
        <f t="shared" si="25"/>
        <v>0</v>
      </c>
      <c r="X130">
        <f t="shared" si="25"/>
        <v>0.98003189558493531</v>
      </c>
      <c r="Y130">
        <f t="shared" si="25"/>
        <v>0.95636193762862676</v>
      </c>
      <c r="Z130">
        <f t="shared" si="25"/>
        <v>0.93326366199426847</v>
      </c>
      <c r="AA130">
        <f t="shared" si="25"/>
        <v>0.91072326127764669</v>
      </c>
      <c r="AB130">
        <f t="shared" si="25"/>
        <v>0.88872726155418069</v>
      </c>
      <c r="AC130">
        <f t="shared" si="25"/>
        <v>0.86726251432464574</v>
      </c>
      <c r="AD130">
        <f t="shared" si="25"/>
        <v>0.84631618865542391</v>
      </c>
    </row>
    <row r="131" spans="2:30">
      <c r="B131">
        <v>1.6</v>
      </c>
      <c r="D131">
        <f t="shared" si="24"/>
        <v>0</v>
      </c>
      <c r="E131">
        <f t="shared" si="23"/>
        <v>0</v>
      </c>
      <c r="F131">
        <f t="shared" si="23"/>
        <v>0</v>
      </c>
      <c r="G131">
        <f t="shared" si="23"/>
        <v>2.25</v>
      </c>
      <c r="H131">
        <f t="shared" si="23"/>
        <v>2.25</v>
      </c>
      <c r="I131">
        <f t="shared" si="23"/>
        <v>2.25</v>
      </c>
      <c r="J131">
        <f t="shared" si="23"/>
        <v>2.25</v>
      </c>
      <c r="K131">
        <f t="shared" si="23"/>
        <v>2.25</v>
      </c>
      <c r="L131">
        <f t="shared" si="23"/>
        <v>2.25</v>
      </c>
      <c r="M131">
        <f t="shared" si="16"/>
        <v>102.25</v>
      </c>
      <c r="P131">
        <f t="shared" si="17"/>
        <v>1.6</v>
      </c>
      <c r="Q131">
        <v>0.2</v>
      </c>
      <c r="R131">
        <f t="shared" si="18"/>
        <v>98.603188482853255</v>
      </c>
      <c r="S131">
        <f t="shared" si="19"/>
        <v>0.45</v>
      </c>
      <c r="T131">
        <f t="shared" ref="T131:T194" si="26">SUMPRODUCT(U131:AD131,D131:M131)</f>
        <v>99.053188482853258</v>
      </c>
      <c r="U131">
        <f t="shared" ref="U131:AD146" si="27">IF((1/(1+$O$3/2)^((U$2-$P131)*2))&lt;=1,1/(1+$O$3/2)^((U$2-$P131)*2),0)</f>
        <v>0</v>
      </c>
      <c r="V131">
        <f t="shared" si="27"/>
        <v>0</v>
      </c>
      <c r="W131">
        <f t="shared" si="27"/>
        <v>0</v>
      </c>
      <c r="X131">
        <f t="shared" si="27"/>
        <v>0.98063109085043088</v>
      </c>
      <c r="Y131">
        <f t="shared" si="27"/>
        <v>0.95694666099090597</v>
      </c>
      <c r="Z131">
        <f t="shared" si="27"/>
        <v>0.93383426298209904</v>
      </c>
      <c r="AA131">
        <f t="shared" si="27"/>
        <v>0.91128008097789603</v>
      </c>
      <c r="AB131">
        <f t="shared" si="27"/>
        <v>0.88927063281570717</v>
      </c>
      <c r="AC131">
        <f t="shared" si="27"/>
        <v>0.86779276195726485</v>
      </c>
      <c r="AD131">
        <f t="shared" si="27"/>
        <v>0.84683362962406916</v>
      </c>
    </row>
    <row r="132" spans="2:30">
      <c r="B132">
        <v>1.6125</v>
      </c>
      <c r="D132">
        <f t="shared" si="24"/>
        <v>0</v>
      </c>
      <c r="E132">
        <f t="shared" si="23"/>
        <v>0</v>
      </c>
      <c r="F132">
        <f t="shared" si="23"/>
        <v>0</v>
      </c>
      <c r="G132">
        <f t="shared" si="23"/>
        <v>2.25</v>
      </c>
      <c r="H132">
        <f t="shared" si="23"/>
        <v>2.25</v>
      </c>
      <c r="I132">
        <f t="shared" si="23"/>
        <v>2.25</v>
      </c>
      <c r="J132">
        <f t="shared" si="23"/>
        <v>2.25</v>
      </c>
      <c r="K132">
        <f t="shared" si="23"/>
        <v>2.25</v>
      </c>
      <c r="L132">
        <f t="shared" si="23"/>
        <v>2.25</v>
      </c>
      <c r="M132">
        <f t="shared" ref="M132:M195" si="28">IF($B132&lt;=M$2,100*$D$1/2,0)+100</f>
        <v>102.25</v>
      </c>
      <c r="P132">
        <f t="shared" ref="P132:P195" si="29">B132</f>
        <v>1.6125</v>
      </c>
      <c r="Q132">
        <v>0.22500000000000001</v>
      </c>
      <c r="R132">
        <f t="shared" ref="R132:R195" si="30">T132-S132</f>
        <v>98.607499982778478</v>
      </c>
      <c r="S132">
        <f t="shared" si="19"/>
        <v>0.50624999999999998</v>
      </c>
      <c r="T132">
        <f t="shared" si="26"/>
        <v>99.113749982778472</v>
      </c>
      <c r="U132">
        <f t="shared" si="27"/>
        <v>0</v>
      </c>
      <c r="V132">
        <f t="shared" si="27"/>
        <v>0</v>
      </c>
      <c r="W132">
        <f t="shared" si="27"/>
        <v>0</v>
      </c>
      <c r="X132">
        <f t="shared" si="27"/>
        <v>0.98123065246621366</v>
      </c>
      <c r="Y132">
        <f t="shared" si="27"/>
        <v>0.9575317418552951</v>
      </c>
      <c r="Z132">
        <f t="shared" si="27"/>
        <v>0.93440521283756539</v>
      </c>
      <c r="AA132">
        <f t="shared" si="27"/>
        <v>0.91183724111984898</v>
      </c>
      <c r="AB132">
        <f t="shared" si="27"/>
        <v>0.8898143362965103</v>
      </c>
      <c r="AC132">
        <f t="shared" si="27"/>
        <v>0.86832333378532345</v>
      </c>
      <c r="AD132">
        <f t="shared" si="27"/>
        <v>0.84735138695811019</v>
      </c>
    </row>
    <row r="133" spans="2:30">
      <c r="B133">
        <v>1.625</v>
      </c>
      <c r="D133">
        <f t="shared" si="24"/>
        <v>0</v>
      </c>
      <c r="E133">
        <f t="shared" si="23"/>
        <v>0</v>
      </c>
      <c r="F133">
        <f t="shared" si="23"/>
        <v>0</v>
      </c>
      <c r="G133">
        <f t="shared" si="23"/>
        <v>2.25</v>
      </c>
      <c r="H133">
        <f t="shared" si="23"/>
        <v>2.25</v>
      </c>
      <c r="I133">
        <f t="shared" si="23"/>
        <v>2.25</v>
      </c>
      <c r="J133">
        <f t="shared" si="23"/>
        <v>2.25</v>
      </c>
      <c r="K133">
        <f t="shared" si="23"/>
        <v>2.25</v>
      </c>
      <c r="L133">
        <f t="shared" si="23"/>
        <v>2.25</v>
      </c>
      <c r="M133">
        <f t="shared" si="28"/>
        <v>102.25</v>
      </c>
      <c r="P133">
        <f t="shared" si="29"/>
        <v>1.625</v>
      </c>
      <c r="Q133">
        <v>0.25</v>
      </c>
      <c r="R133">
        <f t="shared" si="30"/>
        <v>98.61184851023738</v>
      </c>
      <c r="S133">
        <f t="shared" ref="S133:S196" si="31">(100*$D$1/2)*Q133</f>
        <v>0.5625</v>
      </c>
      <c r="T133">
        <f t="shared" si="26"/>
        <v>99.17434851023738</v>
      </c>
      <c r="U133">
        <f t="shared" si="27"/>
        <v>0</v>
      </c>
      <c r="V133">
        <f t="shared" si="27"/>
        <v>0</v>
      </c>
      <c r="W133">
        <f t="shared" si="27"/>
        <v>0</v>
      </c>
      <c r="X133">
        <f t="shared" si="27"/>
        <v>0.98183058065627116</v>
      </c>
      <c r="Y133">
        <f t="shared" si="27"/>
        <v>0.95811718044037208</v>
      </c>
      <c r="Z133">
        <f t="shared" si="27"/>
        <v>0.93497651177396635</v>
      </c>
      <c r="AA133">
        <f t="shared" si="27"/>
        <v>0.91239474191165282</v>
      </c>
      <c r="AB133">
        <f t="shared" si="27"/>
        <v>0.89035837219971004</v>
      </c>
      <c r="AC133">
        <f t="shared" si="27"/>
        <v>0.86885423000703577</v>
      </c>
      <c r="AD133">
        <f t="shared" si="27"/>
        <v>0.84786946085097425</v>
      </c>
    </row>
    <row r="134" spans="2:30">
      <c r="B134">
        <v>1.6375</v>
      </c>
      <c r="D134">
        <f t="shared" si="24"/>
        <v>0</v>
      </c>
      <c r="E134">
        <f t="shared" si="23"/>
        <v>0</v>
      </c>
      <c r="F134">
        <f t="shared" si="23"/>
        <v>0</v>
      </c>
      <c r="G134">
        <f t="shared" si="23"/>
        <v>2.25</v>
      </c>
      <c r="H134">
        <f t="shared" si="23"/>
        <v>2.25</v>
      </c>
      <c r="I134">
        <f t="shared" si="23"/>
        <v>2.25</v>
      </c>
      <c r="J134">
        <f t="shared" si="23"/>
        <v>2.25</v>
      </c>
      <c r="K134">
        <f t="shared" si="23"/>
        <v>2.25</v>
      </c>
      <c r="L134">
        <f t="shared" si="23"/>
        <v>2.25</v>
      </c>
      <c r="M134">
        <f t="shared" si="28"/>
        <v>102.25</v>
      </c>
      <c r="P134">
        <f t="shared" si="29"/>
        <v>1.6375</v>
      </c>
      <c r="Q134">
        <v>0.27500000000000002</v>
      </c>
      <c r="R134">
        <f t="shared" si="30"/>
        <v>98.616234087868747</v>
      </c>
      <c r="S134">
        <f t="shared" si="31"/>
        <v>0.61875000000000002</v>
      </c>
      <c r="T134">
        <f t="shared" si="26"/>
        <v>99.234984087868753</v>
      </c>
      <c r="U134">
        <f t="shared" si="27"/>
        <v>0</v>
      </c>
      <c r="V134">
        <f t="shared" si="27"/>
        <v>0</v>
      </c>
      <c r="W134">
        <f t="shared" si="27"/>
        <v>0</v>
      </c>
      <c r="X134">
        <f t="shared" si="27"/>
        <v>0.98243087564472875</v>
      </c>
      <c r="Y134">
        <f t="shared" si="27"/>
        <v>0.95870297696484874</v>
      </c>
      <c r="Z134">
        <f t="shared" si="27"/>
        <v>0.93554816000473162</v>
      </c>
      <c r="AA134">
        <f t="shared" si="27"/>
        <v>0.91295258356158249</v>
      </c>
      <c r="AB134">
        <f t="shared" si="27"/>
        <v>0.8909027407285508</v>
      </c>
      <c r="AC134">
        <f t="shared" si="27"/>
        <v>0.86938545082073737</v>
      </c>
      <c r="AD134">
        <f t="shared" si="27"/>
        <v>0.84838785149620632</v>
      </c>
    </row>
    <row r="135" spans="2:30">
      <c r="B135">
        <v>1.65</v>
      </c>
      <c r="D135">
        <f t="shared" si="24"/>
        <v>0</v>
      </c>
      <c r="E135">
        <f t="shared" si="23"/>
        <v>0</v>
      </c>
      <c r="F135">
        <f t="shared" si="23"/>
        <v>0</v>
      </c>
      <c r="G135">
        <f t="shared" si="23"/>
        <v>2.25</v>
      </c>
      <c r="H135">
        <f t="shared" si="23"/>
        <v>2.25</v>
      </c>
      <c r="I135">
        <f t="shared" si="23"/>
        <v>2.25</v>
      </c>
      <c r="J135">
        <f t="shared" si="23"/>
        <v>2.25</v>
      </c>
      <c r="K135">
        <f t="shared" si="23"/>
        <v>2.25</v>
      </c>
      <c r="L135">
        <f t="shared" si="23"/>
        <v>2.25</v>
      </c>
      <c r="M135">
        <f t="shared" si="28"/>
        <v>102.25</v>
      </c>
      <c r="P135">
        <f t="shared" si="29"/>
        <v>1.65</v>
      </c>
      <c r="Q135">
        <v>0.3</v>
      </c>
      <c r="R135">
        <f t="shared" si="30"/>
        <v>98.620656738325195</v>
      </c>
      <c r="S135">
        <f t="shared" si="31"/>
        <v>0.67499999999999993</v>
      </c>
      <c r="T135">
        <f t="shared" si="26"/>
        <v>99.295656738325192</v>
      </c>
      <c r="U135">
        <f t="shared" si="27"/>
        <v>0</v>
      </c>
      <c r="V135">
        <f t="shared" si="27"/>
        <v>0</v>
      </c>
      <c r="W135">
        <f t="shared" si="27"/>
        <v>0</v>
      </c>
      <c r="X135">
        <f t="shared" si="27"/>
        <v>0.98303153765584805</v>
      </c>
      <c r="Y135">
        <f t="shared" si="27"/>
        <v>0.95928913164757079</v>
      </c>
      <c r="Z135">
        <f t="shared" si="27"/>
        <v>0.93612015774342094</v>
      </c>
      <c r="AA135">
        <f t="shared" si="27"/>
        <v>0.9135107662780394</v>
      </c>
      <c r="AB135">
        <f t="shared" si="27"/>
        <v>0.89144744208640103</v>
      </c>
      <c r="AC135">
        <f t="shared" si="27"/>
        <v>0.86991699642488507</v>
      </c>
      <c r="AD135">
        <f t="shared" si="27"/>
        <v>0.84890655908747015</v>
      </c>
    </row>
    <row r="136" spans="2:30">
      <c r="B136">
        <v>1.6625000000000001</v>
      </c>
      <c r="D136">
        <f t="shared" si="24"/>
        <v>0</v>
      </c>
      <c r="E136">
        <f t="shared" si="23"/>
        <v>0</v>
      </c>
      <c r="F136">
        <f t="shared" si="23"/>
        <v>0</v>
      </c>
      <c r="G136">
        <f t="shared" si="23"/>
        <v>2.25</v>
      </c>
      <c r="H136">
        <f t="shared" si="23"/>
        <v>2.25</v>
      </c>
      <c r="I136">
        <f t="shared" si="23"/>
        <v>2.25</v>
      </c>
      <c r="J136">
        <f t="shared" si="23"/>
        <v>2.25</v>
      </c>
      <c r="K136">
        <f t="shared" si="23"/>
        <v>2.25</v>
      </c>
      <c r="L136">
        <f t="shared" si="23"/>
        <v>2.25</v>
      </c>
      <c r="M136">
        <f t="shared" si="28"/>
        <v>102.25</v>
      </c>
      <c r="P136">
        <f t="shared" si="29"/>
        <v>1.6625000000000001</v>
      </c>
      <c r="Q136">
        <v>0.32500000000000001</v>
      </c>
      <c r="R136">
        <f t="shared" si="30"/>
        <v>98.625116484273178</v>
      </c>
      <c r="S136">
        <f t="shared" si="31"/>
        <v>0.73125000000000007</v>
      </c>
      <c r="T136">
        <f t="shared" si="26"/>
        <v>99.356366484273181</v>
      </c>
      <c r="U136">
        <f t="shared" si="27"/>
        <v>0</v>
      </c>
      <c r="V136">
        <f t="shared" si="27"/>
        <v>0</v>
      </c>
      <c r="W136">
        <f t="shared" si="27"/>
        <v>0</v>
      </c>
      <c r="X136">
        <f t="shared" si="27"/>
        <v>0.98363256691402823</v>
      </c>
      <c r="Y136">
        <f t="shared" si="27"/>
        <v>0.95987564470751729</v>
      </c>
      <c r="Z136">
        <f t="shared" si="27"/>
        <v>0.93669250520372505</v>
      </c>
      <c r="AA136">
        <f t="shared" si="27"/>
        <v>0.91406929026955341</v>
      </c>
      <c r="AB136">
        <f t="shared" si="27"/>
        <v>0.89199247647675373</v>
      </c>
      <c r="AC136">
        <f t="shared" si="27"/>
        <v>0.87044886701805679</v>
      </c>
      <c r="AD136">
        <f t="shared" si="27"/>
        <v>0.84942558381854771</v>
      </c>
    </row>
    <row r="137" spans="2:30">
      <c r="B137">
        <v>1.675</v>
      </c>
      <c r="D137">
        <f t="shared" si="24"/>
        <v>0</v>
      </c>
      <c r="E137">
        <f t="shared" si="23"/>
        <v>0</v>
      </c>
      <c r="F137">
        <f t="shared" si="23"/>
        <v>0</v>
      </c>
      <c r="G137">
        <f t="shared" si="23"/>
        <v>2.25</v>
      </c>
      <c r="H137">
        <f t="shared" si="23"/>
        <v>2.25</v>
      </c>
      <c r="I137">
        <f t="shared" si="23"/>
        <v>2.25</v>
      </c>
      <c r="J137">
        <f t="shared" si="23"/>
        <v>2.25</v>
      </c>
      <c r="K137">
        <f t="shared" si="23"/>
        <v>2.25</v>
      </c>
      <c r="L137">
        <f t="shared" si="23"/>
        <v>2.25</v>
      </c>
      <c r="M137">
        <f t="shared" si="28"/>
        <v>102.25</v>
      </c>
      <c r="P137">
        <f t="shared" si="29"/>
        <v>1.675</v>
      </c>
      <c r="Q137">
        <v>0.35</v>
      </c>
      <c r="R137">
        <f t="shared" si="30"/>
        <v>98.62961334839305</v>
      </c>
      <c r="S137">
        <f t="shared" si="31"/>
        <v>0.78749999999999998</v>
      </c>
      <c r="T137">
        <f t="shared" si="26"/>
        <v>99.417113348393045</v>
      </c>
      <c r="U137">
        <f t="shared" si="27"/>
        <v>0</v>
      </c>
      <c r="V137">
        <f t="shared" si="27"/>
        <v>0</v>
      </c>
      <c r="W137">
        <f t="shared" si="27"/>
        <v>0</v>
      </c>
      <c r="X137">
        <f t="shared" si="27"/>
        <v>0.98423396364380566</v>
      </c>
      <c r="Y137">
        <f t="shared" si="27"/>
        <v>0.96046251636380153</v>
      </c>
      <c r="Z137">
        <f t="shared" si="27"/>
        <v>0.93726520259946466</v>
      </c>
      <c r="AA137">
        <f t="shared" si="27"/>
        <v>0.91462815574478129</v>
      </c>
      <c r="AB137">
        <f t="shared" si="27"/>
        <v>0.89253784410322634</v>
      </c>
      <c r="AC137">
        <f t="shared" si="27"/>
        <v>0.87098106279895227</v>
      </c>
      <c r="AD137">
        <f t="shared" si="27"/>
        <v>0.84994492588333959</v>
      </c>
    </row>
    <row r="138" spans="2:30">
      <c r="B138">
        <v>1.6875</v>
      </c>
      <c r="D138">
        <f t="shared" si="24"/>
        <v>0</v>
      </c>
      <c r="E138">
        <f t="shared" si="23"/>
        <v>0</v>
      </c>
      <c r="F138">
        <f t="shared" si="23"/>
        <v>0</v>
      </c>
      <c r="G138">
        <f t="shared" si="23"/>
        <v>2.25</v>
      </c>
      <c r="H138">
        <f t="shared" si="23"/>
        <v>2.25</v>
      </c>
      <c r="I138">
        <f t="shared" si="23"/>
        <v>2.25</v>
      </c>
      <c r="J138">
        <f t="shared" si="23"/>
        <v>2.25</v>
      </c>
      <c r="K138">
        <f t="shared" si="23"/>
        <v>2.25</v>
      </c>
      <c r="L138">
        <f t="shared" si="23"/>
        <v>2.25</v>
      </c>
      <c r="M138">
        <f t="shared" si="28"/>
        <v>102.25</v>
      </c>
      <c r="P138">
        <f t="shared" si="29"/>
        <v>1.6875</v>
      </c>
      <c r="Q138">
        <v>0.375</v>
      </c>
      <c r="R138">
        <f t="shared" si="30"/>
        <v>98.634147353378978</v>
      </c>
      <c r="S138">
        <f t="shared" si="31"/>
        <v>0.84375</v>
      </c>
      <c r="T138">
        <f t="shared" si="26"/>
        <v>99.477897353378978</v>
      </c>
      <c r="U138">
        <f t="shared" si="27"/>
        <v>0</v>
      </c>
      <c r="V138">
        <f t="shared" si="27"/>
        <v>0</v>
      </c>
      <c r="W138">
        <f t="shared" si="27"/>
        <v>0</v>
      </c>
      <c r="X138">
        <f t="shared" si="27"/>
        <v>0.98483572806985353</v>
      </c>
      <c r="Y138">
        <f t="shared" si="27"/>
        <v>0.96104974683567079</v>
      </c>
      <c r="Z138">
        <f t="shared" si="27"/>
        <v>0.9378382501445921</v>
      </c>
      <c r="AA138">
        <f t="shared" si="27"/>
        <v>0.91518736291250746</v>
      </c>
      <c r="AB138">
        <f t="shared" si="27"/>
        <v>0.89308354516956079</v>
      </c>
      <c r="AC138">
        <f t="shared" si="27"/>
        <v>0.87151358396639256</v>
      </c>
      <c r="AD138">
        <f t="shared" si="27"/>
        <v>0.8504645854758649</v>
      </c>
    </row>
    <row r="139" spans="2:30">
      <c r="B139">
        <v>1.7</v>
      </c>
      <c r="D139">
        <f t="shared" si="24"/>
        <v>0</v>
      </c>
      <c r="E139">
        <f t="shared" si="23"/>
        <v>0</v>
      </c>
      <c r="F139">
        <f t="shared" si="23"/>
        <v>0</v>
      </c>
      <c r="G139">
        <f t="shared" si="23"/>
        <v>2.25</v>
      </c>
      <c r="H139">
        <f t="shared" si="23"/>
        <v>2.25</v>
      </c>
      <c r="I139">
        <f t="shared" si="23"/>
        <v>2.25</v>
      </c>
      <c r="J139">
        <f t="shared" si="23"/>
        <v>2.25</v>
      </c>
      <c r="K139">
        <f t="shared" si="23"/>
        <v>2.25</v>
      </c>
      <c r="L139">
        <f t="shared" si="23"/>
        <v>2.25</v>
      </c>
      <c r="M139">
        <f t="shared" si="28"/>
        <v>102.25</v>
      </c>
      <c r="P139">
        <f t="shared" si="29"/>
        <v>1.7</v>
      </c>
      <c r="Q139">
        <v>0.4</v>
      </c>
      <c r="R139">
        <f t="shared" si="30"/>
        <v>98.63871852193904</v>
      </c>
      <c r="S139">
        <f t="shared" si="31"/>
        <v>0.9</v>
      </c>
      <c r="T139">
        <f t="shared" si="26"/>
        <v>99.538718521939046</v>
      </c>
      <c r="U139">
        <f t="shared" si="27"/>
        <v>0</v>
      </c>
      <c r="V139">
        <f t="shared" si="27"/>
        <v>0</v>
      </c>
      <c r="W139">
        <f t="shared" si="27"/>
        <v>0</v>
      </c>
      <c r="X139">
        <f t="shared" si="27"/>
        <v>0.98543786041698334</v>
      </c>
      <c r="Y139">
        <f t="shared" si="27"/>
        <v>0.96163733634250614</v>
      </c>
      <c r="Z139">
        <f t="shared" si="27"/>
        <v>0.93841164805318977</v>
      </c>
      <c r="AA139">
        <f t="shared" si="27"/>
        <v>0.91574691198164393</v>
      </c>
      <c r="AB139">
        <f t="shared" si="27"/>
        <v>0.89362957987962333</v>
      </c>
      <c r="AC139">
        <f t="shared" si="27"/>
        <v>0.87204643071932009</v>
      </c>
      <c r="AD139">
        <f t="shared" si="27"/>
        <v>0.85098456279026102</v>
      </c>
    </row>
    <row r="140" spans="2:30">
      <c r="B140">
        <v>1.7124999999999999</v>
      </c>
      <c r="D140">
        <f t="shared" si="24"/>
        <v>0</v>
      </c>
      <c r="E140">
        <f t="shared" si="23"/>
        <v>0</v>
      </c>
      <c r="F140">
        <f t="shared" si="23"/>
        <v>0</v>
      </c>
      <c r="G140">
        <f t="shared" si="23"/>
        <v>2.25</v>
      </c>
      <c r="H140">
        <f t="shared" si="23"/>
        <v>2.25</v>
      </c>
      <c r="I140">
        <f t="shared" si="23"/>
        <v>2.25</v>
      </c>
      <c r="J140">
        <f t="shared" si="23"/>
        <v>2.25</v>
      </c>
      <c r="K140">
        <f t="shared" si="23"/>
        <v>2.25</v>
      </c>
      <c r="L140">
        <f t="shared" si="23"/>
        <v>2.25</v>
      </c>
      <c r="M140">
        <f t="shared" si="28"/>
        <v>102.25</v>
      </c>
      <c r="P140">
        <f t="shared" si="29"/>
        <v>1.7124999999999999</v>
      </c>
      <c r="Q140">
        <v>0.42499999999999999</v>
      </c>
      <c r="R140">
        <f t="shared" si="30"/>
        <v>98.6433268767952</v>
      </c>
      <c r="S140">
        <f t="shared" si="31"/>
        <v>0.95624999999999993</v>
      </c>
      <c r="T140">
        <f t="shared" si="26"/>
        <v>99.599576876795197</v>
      </c>
      <c r="U140">
        <f t="shared" si="27"/>
        <v>0</v>
      </c>
      <c r="V140">
        <f t="shared" si="27"/>
        <v>0</v>
      </c>
      <c r="W140">
        <f t="shared" si="27"/>
        <v>0</v>
      </c>
      <c r="X140">
        <f t="shared" si="27"/>
        <v>0.98604036091014291</v>
      </c>
      <c r="Y140">
        <f t="shared" si="27"/>
        <v>0.96222528510382321</v>
      </c>
      <c r="Z140">
        <f t="shared" si="27"/>
        <v>0.93898539653947122</v>
      </c>
      <c r="AA140">
        <f t="shared" si="27"/>
        <v>0.9163068031612307</v>
      </c>
      <c r="AB140">
        <f t="shared" si="27"/>
        <v>0.89417594843740489</v>
      </c>
      <c r="AC140">
        <f t="shared" si="27"/>
        <v>0.87257960325679917</v>
      </c>
      <c r="AD140">
        <f t="shared" si="27"/>
        <v>0.85150485802078468</v>
      </c>
    </row>
    <row r="141" spans="2:30">
      <c r="B141">
        <v>1.7250000000000001</v>
      </c>
      <c r="D141">
        <f t="shared" si="24"/>
        <v>0</v>
      </c>
      <c r="E141">
        <f t="shared" si="23"/>
        <v>0</v>
      </c>
      <c r="F141">
        <f t="shared" si="23"/>
        <v>0</v>
      </c>
      <c r="G141">
        <f t="shared" ref="E141:L173" si="32">IF($B141&lt;=G$2,100*$D$1/2,0)</f>
        <v>2.25</v>
      </c>
      <c r="H141">
        <f t="shared" si="32"/>
        <v>2.25</v>
      </c>
      <c r="I141">
        <f t="shared" si="32"/>
        <v>2.25</v>
      </c>
      <c r="J141">
        <f t="shared" si="32"/>
        <v>2.25</v>
      </c>
      <c r="K141">
        <f t="shared" si="32"/>
        <v>2.25</v>
      </c>
      <c r="L141">
        <f t="shared" si="32"/>
        <v>2.25</v>
      </c>
      <c r="M141">
        <f t="shared" si="28"/>
        <v>102.25</v>
      </c>
      <c r="P141">
        <f t="shared" si="29"/>
        <v>1.7250000000000001</v>
      </c>
      <c r="Q141">
        <v>0.45</v>
      </c>
      <c r="R141">
        <f t="shared" si="30"/>
        <v>98.647972440683276</v>
      </c>
      <c r="S141">
        <f t="shared" si="31"/>
        <v>1.0125</v>
      </c>
      <c r="T141">
        <f t="shared" si="26"/>
        <v>99.660472440683279</v>
      </c>
      <c r="U141">
        <f t="shared" si="27"/>
        <v>0</v>
      </c>
      <c r="V141">
        <f t="shared" si="27"/>
        <v>0</v>
      </c>
      <c r="W141">
        <f t="shared" si="27"/>
        <v>0</v>
      </c>
      <c r="X141">
        <f t="shared" si="27"/>
        <v>0.98664322977441832</v>
      </c>
      <c r="Y141">
        <f t="shared" si="27"/>
        <v>0.96281359333927141</v>
      </c>
      <c r="Z141">
        <f t="shared" si="27"/>
        <v>0.93955949581778131</v>
      </c>
      <c r="AA141">
        <f t="shared" si="27"/>
        <v>0.91686703666043545</v>
      </c>
      <c r="AB141">
        <f t="shared" si="27"/>
        <v>0.89472265104702164</v>
      </c>
      <c r="AC141">
        <f t="shared" si="27"/>
        <v>0.87311310177801571</v>
      </c>
      <c r="AD141">
        <f t="shared" si="27"/>
        <v>0.85202547136181084</v>
      </c>
    </row>
    <row r="142" spans="2:30">
      <c r="B142">
        <v>1.7375</v>
      </c>
      <c r="D142">
        <f t="shared" si="24"/>
        <v>0</v>
      </c>
      <c r="E142">
        <f t="shared" si="32"/>
        <v>0</v>
      </c>
      <c r="F142">
        <f t="shared" si="32"/>
        <v>0</v>
      </c>
      <c r="G142">
        <f t="shared" si="32"/>
        <v>2.25</v>
      </c>
      <c r="H142">
        <f t="shared" si="32"/>
        <v>2.25</v>
      </c>
      <c r="I142">
        <f t="shared" si="32"/>
        <v>2.25</v>
      </c>
      <c r="J142">
        <f t="shared" si="32"/>
        <v>2.25</v>
      </c>
      <c r="K142">
        <f t="shared" si="32"/>
        <v>2.25</v>
      </c>
      <c r="L142">
        <f t="shared" si="32"/>
        <v>2.25</v>
      </c>
      <c r="M142">
        <f t="shared" si="28"/>
        <v>102.25</v>
      </c>
      <c r="P142">
        <f t="shared" si="29"/>
        <v>1.7375</v>
      </c>
      <c r="Q142">
        <v>0.47499999999999998</v>
      </c>
      <c r="R142">
        <f t="shared" si="30"/>
        <v>98.652655236353027</v>
      </c>
      <c r="S142">
        <f t="shared" si="31"/>
        <v>1.0687499999999999</v>
      </c>
      <c r="T142">
        <f t="shared" si="26"/>
        <v>99.721405236353021</v>
      </c>
      <c r="U142">
        <f t="shared" si="27"/>
        <v>0</v>
      </c>
      <c r="V142">
        <f t="shared" si="27"/>
        <v>0</v>
      </c>
      <c r="W142">
        <f t="shared" si="27"/>
        <v>0</v>
      </c>
      <c r="X142">
        <f t="shared" si="27"/>
        <v>0.98724646723503318</v>
      </c>
      <c r="Y142">
        <f t="shared" si="27"/>
        <v>0.96340226126863449</v>
      </c>
      <c r="Z142">
        <f t="shared" si="27"/>
        <v>0.94013394610259526</v>
      </c>
      <c r="AA142">
        <f t="shared" si="27"/>
        <v>0.91742761268855355</v>
      </c>
      <c r="AB142">
        <f t="shared" si="27"/>
        <v>0.89526968791271377</v>
      </c>
      <c r="AC142">
        <f t="shared" si="27"/>
        <v>0.87364692648227726</v>
      </c>
      <c r="AD142">
        <f t="shared" si="27"/>
        <v>0.85254640300783335</v>
      </c>
    </row>
    <row r="143" spans="2:30">
      <c r="B143">
        <v>1.75</v>
      </c>
      <c r="D143">
        <f t="shared" si="24"/>
        <v>0</v>
      </c>
      <c r="E143">
        <f t="shared" si="32"/>
        <v>0</v>
      </c>
      <c r="F143">
        <f t="shared" si="32"/>
        <v>0</v>
      </c>
      <c r="G143">
        <f t="shared" si="32"/>
        <v>2.25</v>
      </c>
      <c r="H143">
        <f t="shared" si="32"/>
        <v>2.25</v>
      </c>
      <c r="I143">
        <f t="shared" si="32"/>
        <v>2.25</v>
      </c>
      <c r="J143">
        <f t="shared" si="32"/>
        <v>2.25</v>
      </c>
      <c r="K143">
        <f t="shared" si="32"/>
        <v>2.25</v>
      </c>
      <c r="L143">
        <f t="shared" si="32"/>
        <v>2.25</v>
      </c>
      <c r="M143">
        <f t="shared" si="28"/>
        <v>102.25</v>
      </c>
      <c r="P143">
        <f t="shared" si="29"/>
        <v>1.75</v>
      </c>
      <c r="Q143">
        <v>0.5</v>
      </c>
      <c r="R143">
        <f t="shared" si="30"/>
        <v>98.657375286568126</v>
      </c>
      <c r="S143">
        <f t="shared" si="31"/>
        <v>1.125</v>
      </c>
      <c r="T143">
        <f t="shared" si="26"/>
        <v>99.782375286568126</v>
      </c>
      <c r="U143">
        <f t="shared" si="27"/>
        <v>0</v>
      </c>
      <c r="V143">
        <f t="shared" si="27"/>
        <v>0</v>
      </c>
      <c r="W143">
        <f t="shared" si="27"/>
        <v>0</v>
      </c>
      <c r="X143">
        <f t="shared" si="27"/>
        <v>0.98785007351734877</v>
      </c>
      <c r="Y143">
        <f t="shared" si="27"/>
        <v>0.96399128911183096</v>
      </c>
      <c r="Z143">
        <f t="shared" si="27"/>
        <v>0.94070874760851986</v>
      </c>
      <c r="AA143">
        <f t="shared" si="27"/>
        <v>0.91798853145500836</v>
      </c>
      <c r="AB143">
        <f t="shared" si="27"/>
        <v>0.89581705923884691</v>
      </c>
      <c r="AC143">
        <f t="shared" si="27"/>
        <v>0.87418107756901375</v>
      </c>
      <c r="AD143">
        <f t="shared" si="27"/>
        <v>0.85306765315346555</v>
      </c>
    </row>
    <row r="144" spans="2:30">
      <c r="B144">
        <v>1.7625</v>
      </c>
      <c r="D144">
        <f t="shared" si="24"/>
        <v>0</v>
      </c>
      <c r="E144">
        <f t="shared" si="32"/>
        <v>0</v>
      </c>
      <c r="F144">
        <f t="shared" si="32"/>
        <v>0</v>
      </c>
      <c r="G144">
        <f t="shared" si="32"/>
        <v>2.25</v>
      </c>
      <c r="H144">
        <f t="shared" si="32"/>
        <v>2.25</v>
      </c>
      <c r="I144">
        <f t="shared" si="32"/>
        <v>2.25</v>
      </c>
      <c r="J144">
        <f t="shared" si="32"/>
        <v>2.25</v>
      </c>
      <c r="K144">
        <f t="shared" si="32"/>
        <v>2.25</v>
      </c>
      <c r="L144">
        <f t="shared" si="32"/>
        <v>2.25</v>
      </c>
      <c r="M144">
        <f t="shared" si="28"/>
        <v>102.25</v>
      </c>
      <c r="P144">
        <f t="shared" si="29"/>
        <v>1.7625</v>
      </c>
      <c r="Q144">
        <v>0.52500000000000002</v>
      </c>
      <c r="R144">
        <f t="shared" si="30"/>
        <v>98.662132614106113</v>
      </c>
      <c r="S144">
        <f t="shared" si="31"/>
        <v>1.1812500000000001</v>
      </c>
      <c r="T144">
        <f t="shared" si="26"/>
        <v>99.843382614106119</v>
      </c>
      <c r="U144">
        <f t="shared" si="27"/>
        <v>0</v>
      </c>
      <c r="V144">
        <f t="shared" si="27"/>
        <v>0</v>
      </c>
      <c r="W144">
        <f t="shared" si="27"/>
        <v>0</v>
      </c>
      <c r="X144">
        <f t="shared" si="27"/>
        <v>0.98845404884686383</v>
      </c>
      <c r="Y144">
        <f t="shared" si="27"/>
        <v>0.96458067708891304</v>
      </c>
      <c r="Z144">
        <f t="shared" si="27"/>
        <v>0.94128390055029321</v>
      </c>
      <c r="AA144">
        <f t="shared" si="27"/>
        <v>0.91854979316935181</v>
      </c>
      <c r="AB144">
        <f t="shared" si="27"/>
        <v>0.89636476522991149</v>
      </c>
      <c r="AC144">
        <f t="shared" si="27"/>
        <v>0.87471555523777633</v>
      </c>
      <c r="AD144">
        <f t="shared" si="27"/>
        <v>0.85358922199343878</v>
      </c>
    </row>
    <row r="145" spans="2:30">
      <c r="B145">
        <v>1.7749999999999999</v>
      </c>
      <c r="D145">
        <f t="shared" si="24"/>
        <v>0</v>
      </c>
      <c r="E145">
        <f t="shared" si="32"/>
        <v>0</v>
      </c>
      <c r="F145">
        <f t="shared" si="32"/>
        <v>0</v>
      </c>
      <c r="G145">
        <f t="shared" si="32"/>
        <v>2.25</v>
      </c>
      <c r="H145">
        <f t="shared" si="32"/>
        <v>2.25</v>
      </c>
      <c r="I145">
        <f t="shared" si="32"/>
        <v>2.25</v>
      </c>
      <c r="J145">
        <f t="shared" si="32"/>
        <v>2.25</v>
      </c>
      <c r="K145">
        <f t="shared" si="32"/>
        <v>2.25</v>
      </c>
      <c r="L145">
        <f t="shared" si="32"/>
        <v>2.25</v>
      </c>
      <c r="M145">
        <f t="shared" si="28"/>
        <v>102.25</v>
      </c>
      <c r="P145">
        <f t="shared" si="29"/>
        <v>1.7749999999999999</v>
      </c>
      <c r="Q145">
        <v>0.55000000000000004</v>
      </c>
      <c r="R145">
        <f t="shared" si="30"/>
        <v>98.666927241758515</v>
      </c>
      <c r="S145">
        <f t="shared" si="31"/>
        <v>1.2375</v>
      </c>
      <c r="T145">
        <f t="shared" si="26"/>
        <v>99.904427241758512</v>
      </c>
      <c r="U145">
        <f t="shared" si="27"/>
        <v>0</v>
      </c>
      <c r="V145">
        <f t="shared" si="27"/>
        <v>0</v>
      </c>
      <c r="W145">
        <f t="shared" si="27"/>
        <v>0</v>
      </c>
      <c r="X145">
        <f t="shared" si="27"/>
        <v>0.98905839344921531</v>
      </c>
      <c r="Y145">
        <f t="shared" si="27"/>
        <v>0.96517042542006859</v>
      </c>
      <c r="Z145">
        <f t="shared" si="27"/>
        <v>0.94185940514278454</v>
      </c>
      <c r="AA145">
        <f t="shared" si="27"/>
        <v>0.91911139804126329</v>
      </c>
      <c r="AB145">
        <f t="shared" si="27"/>
        <v>0.89691280609052282</v>
      </c>
      <c r="AC145">
        <f t="shared" si="27"/>
        <v>0.87525035968823883</v>
      </c>
      <c r="AD145">
        <f t="shared" si="27"/>
        <v>0.8541111097226044</v>
      </c>
    </row>
    <row r="146" spans="2:30">
      <c r="B146">
        <v>1.7875000000000001</v>
      </c>
      <c r="D146">
        <f t="shared" si="24"/>
        <v>0</v>
      </c>
      <c r="E146">
        <f t="shared" si="32"/>
        <v>0</v>
      </c>
      <c r="F146">
        <f t="shared" si="32"/>
        <v>0</v>
      </c>
      <c r="G146">
        <f t="shared" si="32"/>
        <v>2.25</v>
      </c>
      <c r="H146">
        <f t="shared" si="32"/>
        <v>2.25</v>
      </c>
      <c r="I146">
        <f t="shared" si="32"/>
        <v>2.25</v>
      </c>
      <c r="J146">
        <f t="shared" si="32"/>
        <v>2.25</v>
      </c>
      <c r="K146">
        <f t="shared" si="32"/>
        <v>2.25</v>
      </c>
      <c r="L146">
        <f t="shared" si="32"/>
        <v>2.25</v>
      </c>
      <c r="M146">
        <f t="shared" si="28"/>
        <v>102.25</v>
      </c>
      <c r="P146">
        <f t="shared" si="29"/>
        <v>1.7875000000000001</v>
      </c>
      <c r="Q146">
        <v>0.57499999999999996</v>
      </c>
      <c r="R146">
        <f t="shared" si="30"/>
        <v>98.671759192330725</v>
      </c>
      <c r="S146">
        <f t="shared" si="31"/>
        <v>1.29375</v>
      </c>
      <c r="T146">
        <f t="shared" si="26"/>
        <v>99.965509192330728</v>
      </c>
      <c r="U146">
        <f t="shared" si="27"/>
        <v>0</v>
      </c>
      <c r="V146">
        <f t="shared" si="27"/>
        <v>0</v>
      </c>
      <c r="W146">
        <f t="shared" si="27"/>
        <v>0</v>
      </c>
      <c r="X146">
        <f t="shared" si="27"/>
        <v>0.98966310755017817</v>
      </c>
      <c r="Y146">
        <f t="shared" si="27"/>
        <v>0.96576053432561904</v>
      </c>
      <c r="Z146">
        <f t="shared" si="27"/>
        <v>0.94243526160099433</v>
      </c>
      <c r="AA146">
        <f t="shared" si="27"/>
        <v>0.91967334628055075</v>
      </c>
      <c r="AB146">
        <f t="shared" si="27"/>
        <v>0.89746118202542147</v>
      </c>
      <c r="AC146">
        <f t="shared" si="27"/>
        <v>0.87578549112019655</v>
      </c>
      <c r="AD146">
        <f t="shared" si="27"/>
        <v>0.85463331653593222</v>
      </c>
    </row>
    <row r="147" spans="2:30">
      <c r="B147">
        <v>1.8</v>
      </c>
      <c r="D147">
        <f t="shared" si="24"/>
        <v>0</v>
      </c>
      <c r="E147">
        <f t="shared" si="32"/>
        <v>0</v>
      </c>
      <c r="F147">
        <f t="shared" si="32"/>
        <v>0</v>
      </c>
      <c r="G147">
        <f t="shared" si="32"/>
        <v>2.25</v>
      </c>
      <c r="H147">
        <f t="shared" si="32"/>
        <v>2.25</v>
      </c>
      <c r="I147">
        <f t="shared" si="32"/>
        <v>2.25</v>
      </c>
      <c r="J147">
        <f t="shared" si="32"/>
        <v>2.25</v>
      </c>
      <c r="K147">
        <f t="shared" si="32"/>
        <v>2.25</v>
      </c>
      <c r="L147">
        <f t="shared" si="32"/>
        <v>2.25</v>
      </c>
      <c r="M147">
        <f t="shared" si="28"/>
        <v>102.25</v>
      </c>
      <c r="P147">
        <f t="shared" si="29"/>
        <v>1.8</v>
      </c>
      <c r="Q147">
        <v>0.6</v>
      </c>
      <c r="R147">
        <f t="shared" si="30"/>
        <v>98.676628488642166</v>
      </c>
      <c r="S147">
        <f t="shared" si="31"/>
        <v>1.3499999999999999</v>
      </c>
      <c r="T147">
        <f t="shared" si="26"/>
        <v>100.02662848864216</v>
      </c>
      <c r="U147">
        <f t="shared" ref="U147:AD162" si="33">IF((1/(1+$O$3/2)^((U$2-$P147)*2))&lt;=1,1/(1+$O$3/2)^((U$2-$P147)*2),0)</f>
        <v>0</v>
      </c>
      <c r="V147">
        <f t="shared" si="33"/>
        <v>0</v>
      </c>
      <c r="W147">
        <f t="shared" si="33"/>
        <v>0</v>
      </c>
      <c r="X147">
        <f t="shared" si="33"/>
        <v>0.99026819137566513</v>
      </c>
      <c r="Y147">
        <f t="shared" si="33"/>
        <v>0.96635100402602103</v>
      </c>
      <c r="Z147">
        <f t="shared" si="33"/>
        <v>0.94301147014005482</v>
      </c>
      <c r="AA147">
        <f t="shared" si="33"/>
        <v>0.92023563809715014</v>
      </c>
      <c r="AB147">
        <f t="shared" si="33"/>
        <v>0.89800989323947311</v>
      </c>
      <c r="AC147">
        <f t="shared" si="33"/>
        <v>0.87632094973356733</v>
      </c>
      <c r="AD147">
        <f t="shared" si="33"/>
        <v>0.85515584262851163</v>
      </c>
    </row>
    <row r="148" spans="2:30">
      <c r="B148">
        <v>1.8125</v>
      </c>
      <c r="D148">
        <f t="shared" si="24"/>
        <v>0</v>
      </c>
      <c r="E148">
        <f t="shared" si="32"/>
        <v>0</v>
      </c>
      <c r="F148">
        <f t="shared" si="32"/>
        <v>0</v>
      </c>
      <c r="G148">
        <f t="shared" si="32"/>
        <v>2.25</v>
      </c>
      <c r="H148">
        <f t="shared" si="32"/>
        <v>2.25</v>
      </c>
      <c r="I148">
        <f t="shared" si="32"/>
        <v>2.25</v>
      </c>
      <c r="J148">
        <f t="shared" si="32"/>
        <v>2.25</v>
      </c>
      <c r="K148">
        <f t="shared" si="32"/>
        <v>2.25</v>
      </c>
      <c r="L148">
        <f t="shared" si="32"/>
        <v>2.25</v>
      </c>
      <c r="M148">
        <f t="shared" si="28"/>
        <v>102.25</v>
      </c>
      <c r="P148">
        <f t="shared" si="29"/>
        <v>1.8125</v>
      </c>
      <c r="Q148">
        <v>0.625</v>
      </c>
      <c r="R148">
        <f t="shared" si="30"/>
        <v>98.681535153526127</v>
      </c>
      <c r="S148">
        <f t="shared" si="31"/>
        <v>1.40625</v>
      </c>
      <c r="T148">
        <f t="shared" si="26"/>
        <v>100.08778515352613</v>
      </c>
      <c r="U148">
        <f t="shared" si="33"/>
        <v>0</v>
      </c>
      <c r="V148">
        <f t="shared" si="33"/>
        <v>0</v>
      </c>
      <c r="W148">
        <f t="shared" si="33"/>
        <v>0</v>
      </c>
      <c r="X148">
        <f t="shared" si="33"/>
        <v>0.99087364515172727</v>
      </c>
      <c r="Y148">
        <f t="shared" si="33"/>
        <v>0.96694183474186624</v>
      </c>
      <c r="Z148">
        <f t="shared" si="33"/>
        <v>0.94358803097522914</v>
      </c>
      <c r="AA148">
        <f t="shared" si="33"/>
        <v>0.92079827370112621</v>
      </c>
      <c r="AB148">
        <f t="shared" si="33"/>
        <v>0.89855893993766889</v>
      </c>
      <c r="AC148">
        <f t="shared" si="33"/>
        <v>0.87685673572839107</v>
      </c>
      <c r="AD148">
        <f t="shared" si="33"/>
        <v>0.85567868819555115</v>
      </c>
    </row>
    <row r="149" spans="2:30">
      <c r="B149">
        <v>1.825</v>
      </c>
      <c r="D149">
        <f t="shared" si="24"/>
        <v>0</v>
      </c>
      <c r="E149">
        <f t="shared" si="32"/>
        <v>0</v>
      </c>
      <c r="F149">
        <f t="shared" si="32"/>
        <v>0</v>
      </c>
      <c r="G149">
        <f t="shared" si="32"/>
        <v>2.25</v>
      </c>
      <c r="H149">
        <f t="shared" si="32"/>
        <v>2.25</v>
      </c>
      <c r="I149">
        <f t="shared" si="32"/>
        <v>2.25</v>
      </c>
      <c r="J149">
        <f t="shared" si="32"/>
        <v>2.25</v>
      </c>
      <c r="K149">
        <f t="shared" si="32"/>
        <v>2.25</v>
      </c>
      <c r="L149">
        <f t="shared" si="32"/>
        <v>2.25</v>
      </c>
      <c r="M149">
        <f t="shared" si="28"/>
        <v>102.25</v>
      </c>
      <c r="P149">
        <f t="shared" si="29"/>
        <v>1.825</v>
      </c>
      <c r="Q149">
        <v>0.65</v>
      </c>
      <c r="R149">
        <f t="shared" si="30"/>
        <v>98.686479209829912</v>
      </c>
      <c r="S149">
        <f t="shared" si="31"/>
        <v>1.4625000000000001</v>
      </c>
      <c r="T149">
        <f t="shared" si="26"/>
        <v>100.14897920982992</v>
      </c>
      <c r="U149">
        <f t="shared" si="33"/>
        <v>0</v>
      </c>
      <c r="V149">
        <f t="shared" si="33"/>
        <v>0</v>
      </c>
      <c r="W149">
        <f t="shared" si="33"/>
        <v>0</v>
      </c>
      <c r="X149">
        <f t="shared" si="33"/>
        <v>0.99147946910455398</v>
      </c>
      <c r="Y149">
        <f t="shared" si="33"/>
        <v>0.96753302669388042</v>
      </c>
      <c r="Z149">
        <f t="shared" si="33"/>
        <v>0.94416494432191289</v>
      </c>
      <c r="AA149">
        <f t="shared" si="33"/>
        <v>0.92136125330267171</v>
      </c>
      <c r="AB149">
        <f t="shared" si="33"/>
        <v>0.89910832232512494</v>
      </c>
      <c r="AC149">
        <f t="shared" si="33"/>
        <v>0.8773928493048303</v>
      </c>
      <c r="AD149">
        <f t="shared" si="33"/>
        <v>0.85620185343237887</v>
      </c>
    </row>
    <row r="150" spans="2:30">
      <c r="B150">
        <v>1.8374999999999999</v>
      </c>
      <c r="D150">
        <f t="shared" si="24"/>
        <v>0</v>
      </c>
      <c r="E150">
        <f t="shared" si="32"/>
        <v>0</v>
      </c>
      <c r="F150">
        <f t="shared" si="32"/>
        <v>0</v>
      </c>
      <c r="G150">
        <f t="shared" si="32"/>
        <v>2.25</v>
      </c>
      <c r="H150">
        <f t="shared" si="32"/>
        <v>2.25</v>
      </c>
      <c r="I150">
        <f t="shared" si="32"/>
        <v>2.25</v>
      </c>
      <c r="J150">
        <f t="shared" si="32"/>
        <v>2.25</v>
      </c>
      <c r="K150">
        <f t="shared" si="32"/>
        <v>2.25</v>
      </c>
      <c r="L150">
        <f t="shared" si="32"/>
        <v>2.25</v>
      </c>
      <c r="M150">
        <f t="shared" si="28"/>
        <v>102.25</v>
      </c>
      <c r="P150">
        <f t="shared" si="29"/>
        <v>1.8374999999999999</v>
      </c>
      <c r="Q150">
        <v>0.67500000000000004</v>
      </c>
      <c r="R150">
        <f t="shared" si="30"/>
        <v>98.691460680414806</v>
      </c>
      <c r="S150">
        <f t="shared" si="31"/>
        <v>1.51875</v>
      </c>
      <c r="T150">
        <f t="shared" si="26"/>
        <v>100.2102106804148</v>
      </c>
      <c r="U150">
        <f t="shared" si="33"/>
        <v>0</v>
      </c>
      <c r="V150">
        <f t="shared" si="33"/>
        <v>0</v>
      </c>
      <c r="W150">
        <f t="shared" si="33"/>
        <v>0</v>
      </c>
      <c r="X150">
        <f t="shared" si="33"/>
        <v>0.99208566346047244</v>
      </c>
      <c r="Y150">
        <f t="shared" si="33"/>
        <v>0.9681245801029249</v>
      </c>
      <c r="Z150">
        <f t="shared" si="33"/>
        <v>0.94474221039563289</v>
      </c>
      <c r="AA150">
        <f t="shared" si="33"/>
        <v>0.92192457711210829</v>
      </c>
      <c r="AB150">
        <f t="shared" si="33"/>
        <v>0.89965804060708299</v>
      </c>
      <c r="AC150">
        <f t="shared" si="33"/>
        <v>0.87792929066316927</v>
      </c>
      <c r="AD150">
        <f t="shared" si="33"/>
        <v>0.85672533853444188</v>
      </c>
    </row>
    <row r="151" spans="2:30">
      <c r="B151">
        <v>1.85</v>
      </c>
      <c r="D151">
        <f t="shared" si="24"/>
        <v>0</v>
      </c>
      <c r="E151">
        <f t="shared" si="32"/>
        <v>0</v>
      </c>
      <c r="F151">
        <f t="shared" si="32"/>
        <v>0</v>
      </c>
      <c r="G151">
        <f t="shared" si="32"/>
        <v>2.25</v>
      </c>
      <c r="H151">
        <f t="shared" si="32"/>
        <v>2.25</v>
      </c>
      <c r="I151">
        <f t="shared" si="32"/>
        <v>2.25</v>
      </c>
      <c r="J151">
        <f t="shared" si="32"/>
        <v>2.25</v>
      </c>
      <c r="K151">
        <f t="shared" si="32"/>
        <v>2.25</v>
      </c>
      <c r="L151">
        <f t="shared" si="32"/>
        <v>2.25</v>
      </c>
      <c r="M151">
        <f t="shared" si="28"/>
        <v>102.25</v>
      </c>
      <c r="P151">
        <f t="shared" si="29"/>
        <v>1.85</v>
      </c>
      <c r="Q151">
        <v>0.7</v>
      </c>
      <c r="R151">
        <f t="shared" si="30"/>
        <v>98.696479588156024</v>
      </c>
      <c r="S151">
        <f t="shared" si="31"/>
        <v>1.575</v>
      </c>
      <c r="T151">
        <f t="shared" si="26"/>
        <v>100.27147958815603</v>
      </c>
      <c r="U151">
        <f t="shared" si="33"/>
        <v>0</v>
      </c>
      <c r="V151">
        <f t="shared" si="33"/>
        <v>0</v>
      </c>
      <c r="W151">
        <f t="shared" si="33"/>
        <v>0</v>
      </c>
      <c r="X151">
        <f t="shared" si="33"/>
        <v>0.99269222844594862</v>
      </c>
      <c r="Y151">
        <f t="shared" si="33"/>
        <v>0.96871649518999625</v>
      </c>
      <c r="Z151">
        <f t="shared" si="33"/>
        <v>0.94531982941204795</v>
      </c>
      <c r="AA151">
        <f t="shared" si="33"/>
        <v>0.9224882453398856</v>
      </c>
      <c r="AB151">
        <f t="shared" si="33"/>
        <v>0.90020809498891008</v>
      </c>
      <c r="AC151">
        <f t="shared" si="33"/>
        <v>0.87846606000381566</v>
      </c>
      <c r="AD151">
        <f t="shared" si="33"/>
        <v>0.8572491436973072</v>
      </c>
    </row>
    <row r="152" spans="2:30">
      <c r="B152">
        <v>1.8625</v>
      </c>
      <c r="D152">
        <f t="shared" si="24"/>
        <v>0</v>
      </c>
      <c r="E152">
        <f t="shared" si="32"/>
        <v>0</v>
      </c>
      <c r="F152">
        <f t="shared" si="32"/>
        <v>0</v>
      </c>
      <c r="G152">
        <f t="shared" si="32"/>
        <v>2.25</v>
      </c>
      <c r="H152">
        <f t="shared" si="32"/>
        <v>2.25</v>
      </c>
      <c r="I152">
        <f t="shared" si="32"/>
        <v>2.25</v>
      </c>
      <c r="J152">
        <f t="shared" si="32"/>
        <v>2.25</v>
      </c>
      <c r="K152">
        <f t="shared" si="32"/>
        <v>2.25</v>
      </c>
      <c r="L152">
        <f t="shared" si="32"/>
        <v>2.25</v>
      </c>
      <c r="M152">
        <f t="shared" si="28"/>
        <v>102.25</v>
      </c>
      <c r="P152">
        <f t="shared" si="29"/>
        <v>1.8625</v>
      </c>
      <c r="Q152">
        <v>0.72499999999999998</v>
      </c>
      <c r="R152">
        <f t="shared" si="30"/>
        <v>98.701535955942774</v>
      </c>
      <c r="S152">
        <f t="shared" si="31"/>
        <v>1.6312499999999999</v>
      </c>
      <c r="T152">
        <f t="shared" si="26"/>
        <v>100.33278595594277</v>
      </c>
      <c r="U152">
        <f t="shared" si="33"/>
        <v>0</v>
      </c>
      <c r="V152">
        <f t="shared" si="33"/>
        <v>0</v>
      </c>
      <c r="W152">
        <f t="shared" si="33"/>
        <v>0</v>
      </c>
      <c r="X152">
        <f t="shared" si="33"/>
        <v>0.9932991642875868</v>
      </c>
      <c r="Y152">
        <f t="shared" si="33"/>
        <v>0.96930877217622513</v>
      </c>
      <c r="Z152">
        <f t="shared" si="33"/>
        <v>0.94589780158694814</v>
      </c>
      <c r="AA152">
        <f t="shared" si="33"/>
        <v>0.92305225819658276</v>
      </c>
      <c r="AB152">
        <f t="shared" si="33"/>
        <v>0.90075848567609917</v>
      </c>
      <c r="AC152">
        <f t="shared" si="33"/>
        <v>0.87900315752729852</v>
      </c>
      <c r="AD152">
        <f t="shared" si="33"/>
        <v>0.85777326911666107</v>
      </c>
    </row>
    <row r="153" spans="2:30">
      <c r="B153">
        <v>1.875</v>
      </c>
      <c r="D153">
        <f t="shared" si="24"/>
        <v>0</v>
      </c>
      <c r="E153">
        <f t="shared" si="32"/>
        <v>0</v>
      </c>
      <c r="F153">
        <f t="shared" si="32"/>
        <v>0</v>
      </c>
      <c r="G153">
        <f t="shared" si="32"/>
        <v>2.25</v>
      </c>
      <c r="H153">
        <f t="shared" si="32"/>
        <v>2.25</v>
      </c>
      <c r="I153">
        <f t="shared" si="32"/>
        <v>2.25</v>
      </c>
      <c r="J153">
        <f t="shared" si="32"/>
        <v>2.25</v>
      </c>
      <c r="K153">
        <f t="shared" si="32"/>
        <v>2.25</v>
      </c>
      <c r="L153">
        <f t="shared" si="32"/>
        <v>2.25</v>
      </c>
      <c r="M153">
        <f t="shared" si="28"/>
        <v>102.25</v>
      </c>
      <c r="P153">
        <f t="shared" si="29"/>
        <v>1.875</v>
      </c>
      <c r="Q153">
        <v>0.75</v>
      </c>
      <c r="R153">
        <f t="shared" si="30"/>
        <v>98.706629806678265</v>
      </c>
      <c r="S153">
        <f t="shared" si="31"/>
        <v>1.6875</v>
      </c>
      <c r="T153">
        <f t="shared" si="26"/>
        <v>100.39412980667827</v>
      </c>
      <c r="U153">
        <f t="shared" si="33"/>
        <v>0</v>
      </c>
      <c r="V153">
        <f t="shared" si="33"/>
        <v>0</v>
      </c>
      <c r="W153">
        <f t="shared" si="33"/>
        <v>0</v>
      </c>
      <c r="X153">
        <f t="shared" si="33"/>
        <v>0.99390647121212994</v>
      </c>
      <c r="Y153">
        <f t="shared" si="33"/>
        <v>0.96990141128287866</v>
      </c>
      <c r="Z153">
        <f t="shared" si="33"/>
        <v>0.94647612713625628</v>
      </c>
      <c r="AA153">
        <f t="shared" si="33"/>
        <v>0.92361661589290689</v>
      </c>
      <c r="AB153">
        <f t="shared" si="33"/>
        <v>0.90130921287426868</v>
      </c>
      <c r="AC153">
        <f t="shared" si="33"/>
        <v>0.87954058343427033</v>
      </c>
      <c r="AD153">
        <f t="shared" si="33"/>
        <v>0.85829771498830976</v>
      </c>
    </row>
    <row r="154" spans="2:30">
      <c r="B154">
        <v>1.8875</v>
      </c>
      <c r="D154">
        <f t="shared" si="24"/>
        <v>0</v>
      </c>
      <c r="E154">
        <f t="shared" si="32"/>
        <v>0</v>
      </c>
      <c r="F154">
        <f t="shared" si="32"/>
        <v>0</v>
      </c>
      <c r="G154">
        <f t="shared" si="32"/>
        <v>2.25</v>
      </c>
      <c r="H154">
        <f t="shared" si="32"/>
        <v>2.25</v>
      </c>
      <c r="I154">
        <f t="shared" si="32"/>
        <v>2.25</v>
      </c>
      <c r="J154">
        <f t="shared" si="32"/>
        <v>2.25</v>
      </c>
      <c r="K154">
        <f t="shared" si="32"/>
        <v>2.25</v>
      </c>
      <c r="L154">
        <f t="shared" si="32"/>
        <v>2.25</v>
      </c>
      <c r="M154">
        <f t="shared" si="28"/>
        <v>102.25</v>
      </c>
      <c r="P154">
        <f t="shared" si="29"/>
        <v>1.8875</v>
      </c>
      <c r="Q154">
        <v>0.77500000000000002</v>
      </c>
      <c r="R154">
        <f t="shared" si="30"/>
        <v>98.711761163279732</v>
      </c>
      <c r="S154">
        <f t="shared" si="31"/>
        <v>1.7437500000000001</v>
      </c>
      <c r="T154">
        <f t="shared" si="26"/>
        <v>100.45551116327974</v>
      </c>
      <c r="U154">
        <f t="shared" si="33"/>
        <v>0</v>
      </c>
      <c r="V154">
        <f t="shared" si="33"/>
        <v>0</v>
      </c>
      <c r="W154">
        <f t="shared" si="33"/>
        <v>0</v>
      </c>
      <c r="X154">
        <f t="shared" si="33"/>
        <v>0.99451414944645966</v>
      </c>
      <c r="Y154">
        <f t="shared" si="33"/>
        <v>0.9704944127313585</v>
      </c>
      <c r="Z154">
        <f t="shared" si="33"/>
        <v>0.94705480627602689</v>
      </c>
      <c r="AA154">
        <f t="shared" si="33"/>
        <v>0.92418131863969444</v>
      </c>
      <c r="AB154">
        <f t="shared" si="33"/>
        <v>0.90186027678916258</v>
      </c>
      <c r="AC154">
        <f t="shared" si="33"/>
        <v>0.88007833792550627</v>
      </c>
      <c r="AD154">
        <f t="shared" si="33"/>
        <v>0.85882248150817875</v>
      </c>
    </row>
    <row r="155" spans="2:30">
      <c r="B155">
        <v>1.9</v>
      </c>
      <c r="D155">
        <f t="shared" si="24"/>
        <v>0</v>
      </c>
      <c r="E155">
        <f t="shared" si="32"/>
        <v>0</v>
      </c>
      <c r="F155">
        <f t="shared" si="32"/>
        <v>0</v>
      </c>
      <c r="G155">
        <f t="shared" si="32"/>
        <v>2.25</v>
      </c>
      <c r="H155">
        <f t="shared" si="32"/>
        <v>2.25</v>
      </c>
      <c r="I155">
        <f t="shared" si="32"/>
        <v>2.25</v>
      </c>
      <c r="J155">
        <f t="shared" si="32"/>
        <v>2.25</v>
      </c>
      <c r="K155">
        <f t="shared" si="32"/>
        <v>2.25</v>
      </c>
      <c r="L155">
        <f t="shared" si="32"/>
        <v>2.25</v>
      </c>
      <c r="M155">
        <f t="shared" si="28"/>
        <v>102.25</v>
      </c>
      <c r="P155">
        <f t="shared" si="29"/>
        <v>1.9</v>
      </c>
      <c r="Q155">
        <v>0.8</v>
      </c>
      <c r="R155">
        <f t="shared" si="30"/>
        <v>98.716930048678421</v>
      </c>
      <c r="S155">
        <f t="shared" si="31"/>
        <v>1.8</v>
      </c>
      <c r="T155">
        <f t="shared" si="26"/>
        <v>100.51693004867842</v>
      </c>
      <c r="U155">
        <f t="shared" si="33"/>
        <v>0</v>
      </c>
      <c r="V155">
        <f t="shared" si="33"/>
        <v>0</v>
      </c>
      <c r="W155">
        <f t="shared" si="33"/>
        <v>0</v>
      </c>
      <c r="X155">
        <f t="shared" si="33"/>
        <v>0.99512219921759615</v>
      </c>
      <c r="Y155">
        <f t="shared" si="33"/>
        <v>0.9710877767432019</v>
      </c>
      <c r="Z155">
        <f t="shared" si="33"/>
        <v>0.94763383922244637</v>
      </c>
      <c r="AA155">
        <f t="shared" si="33"/>
        <v>0.92474636664791043</v>
      </c>
      <c r="AB155">
        <f t="shared" si="33"/>
        <v>0.90241167762665087</v>
      </c>
      <c r="AC155">
        <f t="shared" si="33"/>
        <v>0.88061642120190364</v>
      </c>
      <c r="AD155">
        <f t="shared" si="33"/>
        <v>0.85934756887231378</v>
      </c>
    </row>
    <row r="156" spans="2:30">
      <c r="B156">
        <v>1.9125000000000001</v>
      </c>
      <c r="D156">
        <f t="shared" si="24"/>
        <v>0</v>
      </c>
      <c r="E156">
        <f t="shared" si="32"/>
        <v>0</v>
      </c>
      <c r="F156">
        <f t="shared" si="32"/>
        <v>0</v>
      </c>
      <c r="G156">
        <f t="shared" si="32"/>
        <v>2.25</v>
      </c>
      <c r="H156">
        <f t="shared" si="32"/>
        <v>2.25</v>
      </c>
      <c r="I156">
        <f t="shared" si="32"/>
        <v>2.25</v>
      </c>
      <c r="J156">
        <f t="shared" si="32"/>
        <v>2.25</v>
      </c>
      <c r="K156">
        <f t="shared" si="32"/>
        <v>2.25</v>
      </c>
      <c r="L156">
        <f t="shared" si="32"/>
        <v>2.25</v>
      </c>
      <c r="M156">
        <f t="shared" si="28"/>
        <v>102.25</v>
      </c>
      <c r="P156">
        <f t="shared" si="29"/>
        <v>1.9125000000000001</v>
      </c>
      <c r="Q156">
        <v>0.82499999999999996</v>
      </c>
      <c r="R156">
        <f t="shared" si="30"/>
        <v>98.722136485819561</v>
      </c>
      <c r="S156">
        <f t="shared" si="31"/>
        <v>1.85625</v>
      </c>
      <c r="T156">
        <f t="shared" si="26"/>
        <v>100.57838648581956</v>
      </c>
      <c r="U156">
        <f t="shared" si="33"/>
        <v>0</v>
      </c>
      <c r="V156">
        <f t="shared" si="33"/>
        <v>0</v>
      </c>
      <c r="W156">
        <f t="shared" si="33"/>
        <v>0</v>
      </c>
      <c r="X156">
        <f t="shared" si="33"/>
        <v>0.99573062075269825</v>
      </c>
      <c r="Y156">
        <f t="shared" si="33"/>
        <v>0.97168150354008131</v>
      </c>
      <c r="Z156">
        <f t="shared" si="33"/>
        <v>0.94821322619183335</v>
      </c>
      <c r="AA156">
        <f t="shared" si="33"/>
        <v>0.92531176012864924</v>
      </c>
      <c r="AB156">
        <f t="shared" si="33"/>
        <v>0.90296341559272919</v>
      </c>
      <c r="AC156">
        <f t="shared" si="33"/>
        <v>0.88115483346448309</v>
      </c>
      <c r="AD156">
        <f t="shared" si="33"/>
        <v>0.85987297727688017</v>
      </c>
    </row>
    <row r="157" spans="2:30">
      <c r="B157">
        <v>1.925</v>
      </c>
      <c r="D157">
        <f t="shared" si="24"/>
        <v>0</v>
      </c>
      <c r="E157">
        <f t="shared" si="32"/>
        <v>0</v>
      </c>
      <c r="F157">
        <f t="shared" si="32"/>
        <v>0</v>
      </c>
      <c r="G157">
        <f t="shared" si="32"/>
        <v>2.25</v>
      </c>
      <c r="H157">
        <f t="shared" si="32"/>
        <v>2.25</v>
      </c>
      <c r="I157">
        <f t="shared" si="32"/>
        <v>2.25</v>
      </c>
      <c r="J157">
        <f t="shared" si="32"/>
        <v>2.25</v>
      </c>
      <c r="K157">
        <f t="shared" si="32"/>
        <v>2.25</v>
      </c>
      <c r="L157">
        <f t="shared" si="32"/>
        <v>2.25</v>
      </c>
      <c r="M157">
        <f t="shared" si="28"/>
        <v>102.25</v>
      </c>
      <c r="P157">
        <f t="shared" si="29"/>
        <v>1.925</v>
      </c>
      <c r="Q157">
        <v>0.85</v>
      </c>
      <c r="R157">
        <f t="shared" si="30"/>
        <v>98.727380497662466</v>
      </c>
      <c r="S157">
        <f t="shared" si="31"/>
        <v>1.9124999999999999</v>
      </c>
      <c r="T157">
        <f t="shared" si="26"/>
        <v>100.63988049766246</v>
      </c>
      <c r="U157">
        <f t="shared" si="33"/>
        <v>0</v>
      </c>
      <c r="V157">
        <f t="shared" si="33"/>
        <v>0</v>
      </c>
      <c r="W157">
        <f t="shared" si="33"/>
        <v>0</v>
      </c>
      <c r="X157">
        <f t="shared" si="33"/>
        <v>0.99633941427906403</v>
      </c>
      <c r="Y157">
        <f t="shared" si="33"/>
        <v>0.97227559334380487</v>
      </c>
      <c r="Z157">
        <f t="shared" si="33"/>
        <v>0.94879296740063901</v>
      </c>
      <c r="AA157">
        <f t="shared" si="33"/>
        <v>0.9258774992931339</v>
      </c>
      <c r="AB157">
        <f t="shared" si="33"/>
        <v>0.90351549089351935</v>
      </c>
      <c r="AC157">
        <f t="shared" si="33"/>
        <v>0.88169357491438816</v>
      </c>
      <c r="AD157">
        <f t="shared" si="33"/>
        <v>0.86039870691816356</v>
      </c>
    </row>
    <row r="158" spans="2:30">
      <c r="B158">
        <v>1.9375</v>
      </c>
      <c r="D158">
        <f t="shared" si="24"/>
        <v>0</v>
      </c>
      <c r="E158">
        <f t="shared" si="32"/>
        <v>0</v>
      </c>
      <c r="F158">
        <f t="shared" si="32"/>
        <v>0</v>
      </c>
      <c r="G158">
        <f t="shared" si="32"/>
        <v>2.25</v>
      </c>
      <c r="H158">
        <f t="shared" si="32"/>
        <v>2.25</v>
      </c>
      <c r="I158">
        <f t="shared" si="32"/>
        <v>2.25</v>
      </c>
      <c r="J158">
        <f t="shared" si="32"/>
        <v>2.25</v>
      </c>
      <c r="K158">
        <f t="shared" si="32"/>
        <v>2.25</v>
      </c>
      <c r="L158">
        <f t="shared" si="32"/>
        <v>2.25</v>
      </c>
      <c r="M158">
        <f t="shared" si="28"/>
        <v>102.25</v>
      </c>
      <c r="P158">
        <f t="shared" si="29"/>
        <v>1.9375</v>
      </c>
      <c r="Q158">
        <v>0.875</v>
      </c>
      <c r="R158">
        <f t="shared" si="30"/>
        <v>98.732662107180388</v>
      </c>
      <c r="S158">
        <f t="shared" si="31"/>
        <v>1.96875</v>
      </c>
      <c r="T158">
        <f t="shared" si="26"/>
        <v>100.70141210718039</v>
      </c>
      <c r="U158">
        <f t="shared" si="33"/>
        <v>0</v>
      </c>
      <c r="V158">
        <f t="shared" si="33"/>
        <v>0</v>
      </c>
      <c r="W158">
        <f t="shared" si="33"/>
        <v>0</v>
      </c>
      <c r="X158">
        <f t="shared" si="33"/>
        <v>0.99694858002413034</v>
      </c>
      <c r="Y158">
        <f t="shared" si="33"/>
        <v>0.97287004637631658</v>
      </c>
      <c r="Z158">
        <f t="shared" si="33"/>
        <v>0.94937306306544678</v>
      </c>
      <c r="AA158">
        <f t="shared" si="33"/>
        <v>0.9264435843527169</v>
      </c>
      <c r="AB158">
        <f t="shared" si="33"/>
        <v>0.90406790373526902</v>
      </c>
      <c r="AC158">
        <f t="shared" si="33"/>
        <v>0.88223264575288507</v>
      </c>
      <c r="AD158">
        <f t="shared" si="33"/>
        <v>0.86092475799256885</v>
      </c>
    </row>
    <row r="159" spans="2:30">
      <c r="B159">
        <v>1.95</v>
      </c>
      <c r="D159">
        <f t="shared" si="24"/>
        <v>0</v>
      </c>
      <c r="E159">
        <f t="shared" si="32"/>
        <v>0</v>
      </c>
      <c r="F159">
        <f t="shared" si="32"/>
        <v>0</v>
      </c>
      <c r="G159">
        <f t="shared" si="32"/>
        <v>2.25</v>
      </c>
      <c r="H159">
        <f t="shared" si="32"/>
        <v>2.25</v>
      </c>
      <c r="I159">
        <f t="shared" si="32"/>
        <v>2.25</v>
      </c>
      <c r="J159">
        <f t="shared" si="32"/>
        <v>2.25</v>
      </c>
      <c r="K159">
        <f t="shared" si="32"/>
        <v>2.25</v>
      </c>
      <c r="L159">
        <f t="shared" si="32"/>
        <v>2.25</v>
      </c>
      <c r="M159">
        <f t="shared" si="28"/>
        <v>102.25</v>
      </c>
      <c r="P159">
        <f t="shared" si="29"/>
        <v>1.95</v>
      </c>
      <c r="Q159">
        <v>0.9</v>
      </c>
      <c r="R159">
        <f t="shared" si="30"/>
        <v>98.737981337360736</v>
      </c>
      <c r="S159">
        <f t="shared" si="31"/>
        <v>2.0249999999999999</v>
      </c>
      <c r="T159">
        <f t="shared" si="26"/>
        <v>100.76298133736074</v>
      </c>
      <c r="U159">
        <f t="shared" si="33"/>
        <v>0</v>
      </c>
      <c r="V159">
        <f t="shared" si="33"/>
        <v>0</v>
      </c>
      <c r="W159">
        <f t="shared" si="33"/>
        <v>0</v>
      </c>
      <c r="X159">
        <f t="shared" si="33"/>
        <v>0.99755811821547324</v>
      </c>
      <c r="Y159">
        <f t="shared" si="33"/>
        <v>0.9734648628596958</v>
      </c>
      <c r="Z159">
        <f t="shared" si="33"/>
        <v>0.94995351340297218</v>
      </c>
      <c r="AA159">
        <f t="shared" si="33"/>
        <v>0.92701001551887985</v>
      </c>
      <c r="AB159">
        <f t="shared" si="33"/>
        <v>0.90462065432435201</v>
      </c>
      <c r="AC159">
        <f t="shared" si="33"/>
        <v>0.88277204618136329</v>
      </c>
      <c r="AD159">
        <f t="shared" si="33"/>
        <v>0.86145113069662183</v>
      </c>
    </row>
    <row r="160" spans="2:30">
      <c r="B160">
        <v>1.9624999999999999</v>
      </c>
      <c r="D160">
        <f t="shared" si="24"/>
        <v>0</v>
      </c>
      <c r="E160">
        <f t="shared" si="32"/>
        <v>0</v>
      </c>
      <c r="F160">
        <f t="shared" si="32"/>
        <v>0</v>
      </c>
      <c r="G160">
        <f t="shared" si="32"/>
        <v>2.25</v>
      </c>
      <c r="H160">
        <f t="shared" si="32"/>
        <v>2.25</v>
      </c>
      <c r="I160">
        <f t="shared" si="32"/>
        <v>2.25</v>
      </c>
      <c r="J160">
        <f t="shared" si="32"/>
        <v>2.25</v>
      </c>
      <c r="K160">
        <f t="shared" si="32"/>
        <v>2.25</v>
      </c>
      <c r="L160">
        <f t="shared" si="32"/>
        <v>2.25</v>
      </c>
      <c r="M160">
        <f t="shared" si="28"/>
        <v>102.25</v>
      </c>
      <c r="P160">
        <f t="shared" si="29"/>
        <v>1.9624999999999999</v>
      </c>
      <c r="Q160">
        <v>0.92500000000000004</v>
      </c>
      <c r="R160">
        <f t="shared" si="30"/>
        <v>98.743338211204929</v>
      </c>
      <c r="S160">
        <f t="shared" si="31"/>
        <v>2.0812500000000003</v>
      </c>
      <c r="T160">
        <f t="shared" si="26"/>
        <v>100.82458821120493</v>
      </c>
      <c r="U160">
        <f t="shared" si="33"/>
        <v>0</v>
      </c>
      <c r="V160">
        <f t="shared" si="33"/>
        <v>0</v>
      </c>
      <c r="W160">
        <f t="shared" si="33"/>
        <v>0</v>
      </c>
      <c r="X160">
        <f t="shared" si="33"/>
        <v>0.99816802908080771</v>
      </c>
      <c r="Y160">
        <f t="shared" si="33"/>
        <v>0.97406004301615767</v>
      </c>
      <c r="Z160">
        <f t="shared" si="33"/>
        <v>0.95053431863006366</v>
      </c>
      <c r="AA160">
        <f t="shared" si="33"/>
        <v>0.92757679300323359</v>
      </c>
      <c r="AB160">
        <f t="shared" si="33"/>
        <v>0.90517374286726848</v>
      </c>
      <c r="AC160">
        <f t="shared" si="33"/>
        <v>0.8833117764013354</v>
      </c>
      <c r="AD160">
        <f t="shared" si="33"/>
        <v>0.86197782522696798</v>
      </c>
    </row>
    <row r="161" spans="2:30">
      <c r="B161">
        <v>1.9750000000000001</v>
      </c>
      <c r="D161">
        <f t="shared" si="24"/>
        <v>0</v>
      </c>
      <c r="E161">
        <f t="shared" si="32"/>
        <v>0</v>
      </c>
      <c r="F161">
        <f t="shared" si="32"/>
        <v>0</v>
      </c>
      <c r="G161">
        <f t="shared" si="32"/>
        <v>2.25</v>
      </c>
      <c r="H161">
        <f t="shared" si="32"/>
        <v>2.25</v>
      </c>
      <c r="I161">
        <f t="shared" si="32"/>
        <v>2.25</v>
      </c>
      <c r="J161">
        <f t="shared" si="32"/>
        <v>2.25</v>
      </c>
      <c r="K161">
        <f t="shared" si="32"/>
        <v>2.25</v>
      </c>
      <c r="L161">
        <f t="shared" si="32"/>
        <v>2.25</v>
      </c>
      <c r="M161">
        <f t="shared" si="28"/>
        <v>102.25</v>
      </c>
      <c r="P161">
        <f t="shared" si="29"/>
        <v>1.9750000000000001</v>
      </c>
      <c r="Q161">
        <v>0.95</v>
      </c>
      <c r="R161">
        <f t="shared" si="30"/>
        <v>98.748732751728411</v>
      </c>
      <c r="S161">
        <f t="shared" si="31"/>
        <v>2.1374999999999997</v>
      </c>
      <c r="T161">
        <f t="shared" si="26"/>
        <v>100.88623275172841</v>
      </c>
      <c r="U161">
        <f t="shared" si="33"/>
        <v>0</v>
      </c>
      <c r="V161">
        <f t="shared" si="33"/>
        <v>0</v>
      </c>
      <c r="W161">
        <f t="shared" si="33"/>
        <v>0</v>
      </c>
      <c r="X161">
        <f t="shared" si="33"/>
        <v>0.9987783128479879</v>
      </c>
      <c r="Y161">
        <f t="shared" si="33"/>
        <v>0.97465558706805366</v>
      </c>
      <c r="Z161">
        <f t="shared" si="33"/>
        <v>0.95111547896370197</v>
      </c>
      <c r="AA161">
        <f t="shared" si="33"/>
        <v>0.92814391701751819</v>
      </c>
      <c r="AB161">
        <f t="shared" si="33"/>
        <v>0.9057271695706447</v>
      </c>
      <c r="AC161">
        <f t="shared" si="33"/>
        <v>0.88385183661443734</v>
      </c>
      <c r="AD161">
        <f t="shared" si="33"/>
        <v>0.86250484178037301</v>
      </c>
    </row>
    <row r="162" spans="2:30">
      <c r="B162">
        <v>1.9875</v>
      </c>
      <c r="D162">
        <f t="shared" si="24"/>
        <v>0</v>
      </c>
      <c r="E162">
        <f t="shared" si="32"/>
        <v>0</v>
      </c>
      <c r="F162">
        <f t="shared" si="32"/>
        <v>0</v>
      </c>
      <c r="G162">
        <f t="shared" si="32"/>
        <v>2.25</v>
      </c>
      <c r="H162">
        <f t="shared" si="32"/>
        <v>2.25</v>
      </c>
      <c r="I162">
        <f t="shared" si="32"/>
        <v>2.25</v>
      </c>
      <c r="J162">
        <f t="shared" si="32"/>
        <v>2.25</v>
      </c>
      <c r="K162">
        <f t="shared" si="32"/>
        <v>2.25</v>
      </c>
      <c r="L162">
        <f t="shared" si="32"/>
        <v>2.25</v>
      </c>
      <c r="M162">
        <f t="shared" si="28"/>
        <v>102.25</v>
      </c>
      <c r="P162">
        <f t="shared" si="29"/>
        <v>1.9875</v>
      </c>
      <c r="Q162">
        <v>0.97499999999999998</v>
      </c>
      <c r="R162">
        <f t="shared" si="30"/>
        <v>98.754164981960798</v>
      </c>
      <c r="S162">
        <f t="shared" si="31"/>
        <v>2.1937500000000001</v>
      </c>
      <c r="T162">
        <f t="shared" si="26"/>
        <v>100.94791498196079</v>
      </c>
      <c r="U162">
        <f t="shared" si="33"/>
        <v>0</v>
      </c>
      <c r="V162">
        <f t="shared" si="33"/>
        <v>0</v>
      </c>
      <c r="W162">
        <f t="shared" si="33"/>
        <v>0</v>
      </c>
      <c r="X162">
        <f t="shared" si="33"/>
        <v>0.99938896974500779</v>
      </c>
      <c r="Y162">
        <f t="shared" si="33"/>
        <v>0.97525149523787025</v>
      </c>
      <c r="Z162">
        <f t="shared" si="33"/>
        <v>0.95169699462100066</v>
      </c>
      <c r="AA162">
        <f t="shared" si="33"/>
        <v>0.92871138777360385</v>
      </c>
      <c r="AB162">
        <f t="shared" si="33"/>
        <v>0.90628093464123316</v>
      </c>
      <c r="AC162">
        <f t="shared" si="33"/>
        <v>0.88439222702242815</v>
      </c>
      <c r="AD162">
        <f t="shared" si="33"/>
        <v>0.86303218055372344</v>
      </c>
    </row>
    <row r="163" spans="2:30">
      <c r="B163">
        <v>2</v>
      </c>
      <c r="D163">
        <f t="shared" si="24"/>
        <v>0</v>
      </c>
      <c r="E163">
        <f t="shared" si="32"/>
        <v>0</v>
      </c>
      <c r="F163">
        <f t="shared" si="32"/>
        <v>0</v>
      </c>
      <c r="G163">
        <f t="shared" si="32"/>
        <v>2.25</v>
      </c>
      <c r="H163">
        <f t="shared" si="32"/>
        <v>2.25</v>
      </c>
      <c r="I163">
        <f t="shared" si="32"/>
        <v>2.25</v>
      </c>
      <c r="J163">
        <f t="shared" si="32"/>
        <v>2.25</v>
      </c>
      <c r="K163">
        <f t="shared" si="32"/>
        <v>2.25</v>
      </c>
      <c r="L163">
        <f t="shared" si="32"/>
        <v>2.25</v>
      </c>
      <c r="M163">
        <f t="shared" si="28"/>
        <v>102.25</v>
      </c>
      <c r="P163">
        <f t="shared" si="29"/>
        <v>2</v>
      </c>
      <c r="Q163">
        <v>1</v>
      </c>
      <c r="R163">
        <f t="shared" si="30"/>
        <v>98.759634924945672</v>
      </c>
      <c r="S163">
        <f t="shared" si="31"/>
        <v>2.25</v>
      </c>
      <c r="T163">
        <f t="shared" si="26"/>
        <v>101.00963492494567</v>
      </c>
      <c r="U163">
        <f t="shared" ref="U163:AD178" si="34">IF((1/(1+$O$3/2)^((U$2-$P163)*2))&lt;=1,1/(1+$O$3/2)^((U$2-$P163)*2),0)</f>
        <v>0</v>
      </c>
      <c r="V163">
        <f t="shared" si="34"/>
        <v>0</v>
      </c>
      <c r="W163">
        <f t="shared" si="34"/>
        <v>0</v>
      </c>
      <c r="X163">
        <f t="shared" si="34"/>
        <v>1</v>
      </c>
      <c r="Y163">
        <f t="shared" si="34"/>
        <v>0.97584776774823123</v>
      </c>
      <c r="Z163">
        <f t="shared" si="34"/>
        <v>0.95227886581920584</v>
      </c>
      <c r="AA163">
        <f t="shared" si="34"/>
        <v>0.92927920548348952</v>
      </c>
      <c r="AB163">
        <f t="shared" si="34"/>
        <v>0.90683503828591316</v>
      </c>
      <c r="AC163">
        <f t="shared" si="34"/>
        <v>0.88493294782719012</v>
      </c>
      <c r="AD163">
        <f t="shared" si="34"/>
        <v>0.86355984174402556</v>
      </c>
    </row>
    <row r="164" spans="2:30">
      <c r="B164">
        <v>2.0125000000000002</v>
      </c>
      <c r="D164">
        <f t="shared" si="24"/>
        <v>0</v>
      </c>
      <c r="E164">
        <f t="shared" si="32"/>
        <v>0</v>
      </c>
      <c r="F164">
        <f t="shared" si="32"/>
        <v>0</v>
      </c>
      <c r="G164">
        <f t="shared" si="32"/>
        <v>0</v>
      </c>
      <c r="H164">
        <f t="shared" si="32"/>
        <v>2.25</v>
      </c>
      <c r="I164">
        <f t="shared" si="32"/>
        <v>2.25</v>
      </c>
      <c r="J164">
        <f t="shared" si="32"/>
        <v>2.25</v>
      </c>
      <c r="K164">
        <f t="shared" si="32"/>
        <v>2.25</v>
      </c>
      <c r="L164">
        <f t="shared" si="32"/>
        <v>2.25</v>
      </c>
      <c r="M164">
        <f t="shared" si="28"/>
        <v>102.25</v>
      </c>
      <c r="P164">
        <f t="shared" si="29"/>
        <v>2.0125000000000002</v>
      </c>
      <c r="Q164">
        <v>2.5000000000000001E-2</v>
      </c>
      <c r="R164">
        <f t="shared" si="30"/>
        <v>98.76376694509797</v>
      </c>
      <c r="S164">
        <f t="shared" si="31"/>
        <v>5.6250000000000001E-2</v>
      </c>
      <c r="T164">
        <f t="shared" si="26"/>
        <v>98.820016945097976</v>
      </c>
      <c r="U164">
        <f t="shared" si="34"/>
        <v>0</v>
      </c>
      <c r="V164">
        <f t="shared" si="34"/>
        <v>0</v>
      </c>
      <c r="W164">
        <f t="shared" si="34"/>
        <v>0</v>
      </c>
      <c r="X164">
        <f t="shared" si="34"/>
        <v>0</v>
      </c>
      <c r="Y164">
        <f t="shared" si="34"/>
        <v>0.97644440482189543</v>
      </c>
      <c r="Z164">
        <f t="shared" si="34"/>
        <v>0.95286109277569686</v>
      </c>
      <c r="AA164">
        <f t="shared" si="34"/>
        <v>0.92984737035930409</v>
      </c>
      <c r="AB164">
        <f t="shared" si="34"/>
        <v>0.90738948071168968</v>
      </c>
      <c r="AC164">
        <f t="shared" si="34"/>
        <v>0.885473999230729</v>
      </c>
      <c r="AD164">
        <f t="shared" si="34"/>
        <v>0.86408782554840602</v>
      </c>
    </row>
    <row r="165" spans="2:30">
      <c r="B165">
        <v>2.0249999999999999</v>
      </c>
      <c r="D165">
        <f t="shared" si="24"/>
        <v>0</v>
      </c>
      <c r="E165">
        <f t="shared" si="32"/>
        <v>0</v>
      </c>
      <c r="F165">
        <f t="shared" si="32"/>
        <v>0</v>
      </c>
      <c r="G165">
        <f t="shared" si="32"/>
        <v>0</v>
      </c>
      <c r="H165">
        <f t="shared" si="32"/>
        <v>2.25</v>
      </c>
      <c r="I165">
        <f t="shared" si="32"/>
        <v>2.25</v>
      </c>
      <c r="J165">
        <f t="shared" si="32"/>
        <v>2.25</v>
      </c>
      <c r="K165">
        <f t="shared" si="32"/>
        <v>2.25</v>
      </c>
      <c r="L165">
        <f t="shared" si="32"/>
        <v>2.25</v>
      </c>
      <c r="M165">
        <f t="shared" si="28"/>
        <v>102.25</v>
      </c>
      <c r="P165">
        <f t="shared" si="29"/>
        <v>2.0249999999999999</v>
      </c>
      <c r="Q165">
        <v>0.05</v>
      </c>
      <c r="R165">
        <f t="shared" si="30"/>
        <v>98.767935883049333</v>
      </c>
      <c r="S165">
        <f t="shared" si="31"/>
        <v>0.1125</v>
      </c>
      <c r="T165">
        <f t="shared" si="26"/>
        <v>98.88043588304933</v>
      </c>
      <c r="U165">
        <f t="shared" si="34"/>
        <v>0</v>
      </c>
      <c r="V165">
        <f t="shared" si="34"/>
        <v>0</v>
      </c>
      <c r="W165">
        <f t="shared" si="34"/>
        <v>0</v>
      </c>
      <c r="X165">
        <f t="shared" si="34"/>
        <v>0</v>
      </c>
      <c r="Y165">
        <f t="shared" si="34"/>
        <v>0.9770414066817581</v>
      </c>
      <c r="Z165">
        <f t="shared" si="34"/>
        <v>0.95344367570798538</v>
      </c>
      <c r="AA165">
        <f t="shared" si="34"/>
        <v>0.9304158826133061</v>
      </c>
      <c r="AB165">
        <f t="shared" si="34"/>
        <v>0.90794426212569501</v>
      </c>
      <c r="AC165">
        <f t="shared" si="34"/>
        <v>0.88601538143517433</v>
      </c>
      <c r="AD165">
        <f t="shared" si="34"/>
        <v>0.86461613216411259</v>
      </c>
    </row>
    <row r="166" spans="2:30">
      <c r="B166">
        <v>2.0375000000000001</v>
      </c>
      <c r="D166">
        <f t="shared" si="24"/>
        <v>0</v>
      </c>
      <c r="E166">
        <f t="shared" si="32"/>
        <v>0</v>
      </c>
      <c r="F166">
        <f t="shared" si="32"/>
        <v>0</v>
      </c>
      <c r="G166">
        <f t="shared" si="32"/>
        <v>0</v>
      </c>
      <c r="H166">
        <f t="shared" si="32"/>
        <v>2.25</v>
      </c>
      <c r="I166">
        <f t="shared" si="32"/>
        <v>2.25</v>
      </c>
      <c r="J166">
        <f t="shared" si="32"/>
        <v>2.25</v>
      </c>
      <c r="K166">
        <f t="shared" si="32"/>
        <v>2.25</v>
      </c>
      <c r="L166">
        <f t="shared" si="32"/>
        <v>2.25</v>
      </c>
      <c r="M166">
        <f t="shared" si="28"/>
        <v>102.25</v>
      </c>
      <c r="P166">
        <f t="shared" si="29"/>
        <v>2.0375000000000001</v>
      </c>
      <c r="Q166">
        <v>7.4999999999999997E-2</v>
      </c>
      <c r="R166">
        <f t="shared" si="30"/>
        <v>98.772141761371444</v>
      </c>
      <c r="S166">
        <f t="shared" si="31"/>
        <v>0.16874999999999998</v>
      </c>
      <c r="T166">
        <f t="shared" si="26"/>
        <v>98.940891761371446</v>
      </c>
      <c r="U166">
        <f t="shared" si="34"/>
        <v>0</v>
      </c>
      <c r="V166">
        <f t="shared" si="34"/>
        <v>0</v>
      </c>
      <c r="W166">
        <f t="shared" si="34"/>
        <v>0</v>
      </c>
      <c r="X166">
        <f t="shared" si="34"/>
        <v>0</v>
      </c>
      <c r="Y166">
        <f t="shared" si="34"/>
        <v>0.97763877355085138</v>
      </c>
      <c r="Z166">
        <f t="shared" si="34"/>
        <v>0.95402661483371676</v>
      </c>
      <c r="AA166">
        <f t="shared" si="34"/>
        <v>0.9309847424578841</v>
      </c>
      <c r="AB166">
        <f t="shared" si="34"/>
        <v>0.90849938273518804</v>
      </c>
      <c r="AC166">
        <f t="shared" si="34"/>
        <v>0.88655709464277921</v>
      </c>
      <c r="AD166">
        <f t="shared" si="34"/>
        <v>0.86514476178851352</v>
      </c>
    </row>
    <row r="167" spans="2:30">
      <c r="B167">
        <v>2.0499999999999998</v>
      </c>
      <c r="D167">
        <f t="shared" si="24"/>
        <v>0</v>
      </c>
      <c r="E167">
        <f t="shared" si="32"/>
        <v>0</v>
      </c>
      <c r="F167">
        <f t="shared" si="32"/>
        <v>0</v>
      </c>
      <c r="G167">
        <f t="shared" si="32"/>
        <v>0</v>
      </c>
      <c r="H167">
        <f t="shared" si="32"/>
        <v>2.25</v>
      </c>
      <c r="I167">
        <f t="shared" si="32"/>
        <v>2.25</v>
      </c>
      <c r="J167">
        <f t="shared" si="32"/>
        <v>2.25</v>
      </c>
      <c r="K167">
        <f t="shared" si="32"/>
        <v>2.25</v>
      </c>
      <c r="L167">
        <f t="shared" si="32"/>
        <v>2.25</v>
      </c>
      <c r="M167">
        <f t="shared" si="28"/>
        <v>102.25</v>
      </c>
      <c r="P167">
        <f t="shared" si="29"/>
        <v>2.0499999999999998</v>
      </c>
      <c r="Q167">
        <v>0.1</v>
      </c>
      <c r="R167">
        <f t="shared" si="30"/>
        <v>98.776384602649784</v>
      </c>
      <c r="S167">
        <f t="shared" si="31"/>
        <v>0.22500000000000001</v>
      </c>
      <c r="T167">
        <f t="shared" si="26"/>
        <v>99.001384602649779</v>
      </c>
      <c r="U167">
        <f t="shared" si="34"/>
        <v>0</v>
      </c>
      <c r="V167">
        <f t="shared" si="34"/>
        <v>0</v>
      </c>
      <c r="W167">
        <f t="shared" si="34"/>
        <v>0</v>
      </c>
      <c r="X167">
        <f t="shared" si="34"/>
        <v>0</v>
      </c>
      <c r="Y167">
        <f t="shared" si="34"/>
        <v>0.97823650565234266</v>
      </c>
      <c r="Z167">
        <f t="shared" si="34"/>
        <v>0.95460991037066867</v>
      </c>
      <c r="AA167">
        <f t="shared" si="34"/>
        <v>0.93155395010555608</v>
      </c>
      <c r="AB167">
        <f t="shared" si="34"/>
        <v>0.90905484274755399</v>
      </c>
      <c r="AC167">
        <f t="shared" si="34"/>
        <v>0.88709913905591997</v>
      </c>
      <c r="AD167">
        <f t="shared" si="34"/>
        <v>0.86567371461909726</v>
      </c>
    </row>
    <row r="168" spans="2:30">
      <c r="B168">
        <v>2.0625</v>
      </c>
      <c r="D168">
        <f t="shared" si="24"/>
        <v>0</v>
      </c>
      <c r="E168">
        <f t="shared" si="32"/>
        <v>0</v>
      </c>
      <c r="F168">
        <f t="shared" si="32"/>
        <v>0</v>
      </c>
      <c r="G168">
        <f t="shared" si="32"/>
        <v>0</v>
      </c>
      <c r="H168">
        <f t="shared" si="32"/>
        <v>2.25</v>
      </c>
      <c r="I168">
        <f t="shared" si="32"/>
        <v>2.25</v>
      </c>
      <c r="J168">
        <f t="shared" si="32"/>
        <v>2.25</v>
      </c>
      <c r="K168">
        <f t="shared" si="32"/>
        <v>2.25</v>
      </c>
      <c r="L168">
        <f t="shared" si="32"/>
        <v>2.25</v>
      </c>
      <c r="M168">
        <f t="shared" si="28"/>
        <v>102.25</v>
      </c>
      <c r="P168">
        <f t="shared" si="29"/>
        <v>2.0625</v>
      </c>
      <c r="Q168">
        <v>0.125</v>
      </c>
      <c r="R168">
        <f t="shared" si="30"/>
        <v>98.780664429483664</v>
      </c>
      <c r="S168">
        <f t="shared" si="31"/>
        <v>0.28125</v>
      </c>
      <c r="T168">
        <f t="shared" si="26"/>
        <v>99.061914429483664</v>
      </c>
      <c r="U168">
        <f t="shared" si="34"/>
        <v>0</v>
      </c>
      <c r="V168">
        <f t="shared" si="34"/>
        <v>0</v>
      </c>
      <c r="W168">
        <f t="shared" si="34"/>
        <v>0</v>
      </c>
      <c r="X168">
        <f t="shared" si="34"/>
        <v>0</v>
      </c>
      <c r="Y168">
        <f t="shared" si="34"/>
        <v>0.97883460320953708</v>
      </c>
      <c r="Z168">
        <f t="shared" si="34"/>
        <v>0.95519356253675247</v>
      </c>
      <c r="AA168">
        <f t="shared" si="34"/>
        <v>0.93212350576897052</v>
      </c>
      <c r="AB168">
        <f t="shared" si="34"/>
        <v>0.90961064237030542</v>
      </c>
      <c r="AC168">
        <f t="shared" si="34"/>
        <v>0.88764151487709708</v>
      </c>
      <c r="AD168">
        <f t="shared" si="34"/>
        <v>0.86620299085347352</v>
      </c>
    </row>
    <row r="169" spans="2:30">
      <c r="B169">
        <v>2.0750000000000002</v>
      </c>
      <c r="D169">
        <f t="shared" si="24"/>
        <v>0</v>
      </c>
      <c r="E169">
        <f t="shared" si="32"/>
        <v>0</v>
      </c>
      <c r="F169">
        <f t="shared" si="32"/>
        <v>0</v>
      </c>
      <c r="G169">
        <f t="shared" si="32"/>
        <v>0</v>
      </c>
      <c r="H169">
        <f t="shared" si="32"/>
        <v>2.25</v>
      </c>
      <c r="I169">
        <f t="shared" si="32"/>
        <v>2.25</v>
      </c>
      <c r="J169">
        <f t="shared" si="32"/>
        <v>2.25</v>
      </c>
      <c r="K169">
        <f t="shared" si="32"/>
        <v>2.25</v>
      </c>
      <c r="L169">
        <f t="shared" si="32"/>
        <v>2.25</v>
      </c>
      <c r="M169">
        <f t="shared" si="28"/>
        <v>102.25</v>
      </c>
      <c r="P169">
        <f t="shared" si="29"/>
        <v>2.0750000000000002</v>
      </c>
      <c r="Q169">
        <v>0.15</v>
      </c>
      <c r="R169">
        <f t="shared" si="30"/>
        <v>98.784981264486177</v>
      </c>
      <c r="S169">
        <f t="shared" si="31"/>
        <v>0.33749999999999997</v>
      </c>
      <c r="T169">
        <f t="shared" si="26"/>
        <v>99.122481264486183</v>
      </c>
      <c r="U169">
        <f t="shared" si="34"/>
        <v>0</v>
      </c>
      <c r="V169">
        <f t="shared" si="34"/>
        <v>0</v>
      </c>
      <c r="W169">
        <f t="shared" si="34"/>
        <v>0</v>
      </c>
      <c r="X169">
        <f t="shared" si="34"/>
        <v>0</v>
      </c>
      <c r="Y169">
        <f t="shared" si="34"/>
        <v>0.97943306644587558</v>
      </c>
      <c r="Z169">
        <f t="shared" si="34"/>
        <v>0.95577757155001264</v>
      </c>
      <c r="AA169">
        <f t="shared" si="34"/>
        <v>0.93269340966090508</v>
      </c>
      <c r="AB169">
        <f t="shared" si="34"/>
        <v>0.91016678181108079</v>
      </c>
      <c r="AC169">
        <f t="shared" si="34"/>
        <v>0.88818422230893457</v>
      </c>
      <c r="AD169">
        <f t="shared" si="34"/>
        <v>0.8667325906893727</v>
      </c>
    </row>
    <row r="170" spans="2:30">
      <c r="B170">
        <v>2.0874999999999999</v>
      </c>
      <c r="D170">
        <f t="shared" si="24"/>
        <v>0</v>
      </c>
      <c r="E170">
        <f t="shared" si="32"/>
        <v>0</v>
      </c>
      <c r="F170">
        <f t="shared" si="32"/>
        <v>0</v>
      </c>
      <c r="G170">
        <f t="shared" si="32"/>
        <v>0</v>
      </c>
      <c r="H170">
        <f t="shared" si="32"/>
        <v>2.25</v>
      </c>
      <c r="I170">
        <f t="shared" si="32"/>
        <v>2.25</v>
      </c>
      <c r="J170">
        <f t="shared" si="32"/>
        <v>2.25</v>
      </c>
      <c r="K170">
        <f t="shared" si="32"/>
        <v>2.25</v>
      </c>
      <c r="L170">
        <f t="shared" si="32"/>
        <v>2.25</v>
      </c>
      <c r="M170">
        <f t="shared" si="28"/>
        <v>102.25</v>
      </c>
      <c r="P170">
        <f t="shared" si="29"/>
        <v>2.0874999999999999</v>
      </c>
      <c r="Q170">
        <v>0.17499999999999999</v>
      </c>
      <c r="R170">
        <f t="shared" si="30"/>
        <v>98.789335130284258</v>
      </c>
      <c r="S170">
        <f t="shared" si="31"/>
        <v>0.39374999999999999</v>
      </c>
      <c r="T170">
        <f t="shared" si="26"/>
        <v>99.183085130284255</v>
      </c>
      <c r="U170">
        <f t="shared" si="34"/>
        <v>0</v>
      </c>
      <c r="V170">
        <f t="shared" si="34"/>
        <v>0</v>
      </c>
      <c r="W170">
        <f t="shared" si="34"/>
        <v>0</v>
      </c>
      <c r="X170">
        <f t="shared" si="34"/>
        <v>0</v>
      </c>
      <c r="Y170">
        <f t="shared" si="34"/>
        <v>0.98003189558493531</v>
      </c>
      <c r="Z170">
        <f t="shared" si="34"/>
        <v>0.95636193762862676</v>
      </c>
      <c r="AA170">
        <f t="shared" si="34"/>
        <v>0.93326366199426847</v>
      </c>
      <c r="AB170">
        <f t="shared" si="34"/>
        <v>0.91072326127764669</v>
      </c>
      <c r="AC170">
        <f t="shared" si="34"/>
        <v>0.88872726155418069</v>
      </c>
      <c r="AD170">
        <f t="shared" si="34"/>
        <v>0.86726251432464574</v>
      </c>
    </row>
    <row r="171" spans="2:30">
      <c r="B171">
        <v>2.1</v>
      </c>
      <c r="D171">
        <f t="shared" si="24"/>
        <v>0</v>
      </c>
      <c r="E171">
        <f t="shared" si="32"/>
        <v>0</v>
      </c>
      <c r="F171">
        <f t="shared" si="32"/>
        <v>0</v>
      </c>
      <c r="G171">
        <f t="shared" si="32"/>
        <v>0</v>
      </c>
      <c r="H171">
        <f t="shared" si="32"/>
        <v>2.25</v>
      </c>
      <c r="I171">
        <f t="shared" si="32"/>
        <v>2.25</v>
      </c>
      <c r="J171">
        <f t="shared" si="32"/>
        <v>2.25</v>
      </c>
      <c r="K171">
        <f t="shared" si="32"/>
        <v>2.25</v>
      </c>
      <c r="L171">
        <f t="shared" si="32"/>
        <v>2.25</v>
      </c>
      <c r="M171">
        <f t="shared" si="28"/>
        <v>102.25</v>
      </c>
      <c r="P171">
        <f t="shared" si="29"/>
        <v>2.1</v>
      </c>
      <c r="Q171">
        <v>0.2</v>
      </c>
      <c r="R171">
        <f t="shared" si="30"/>
        <v>98.793726049518668</v>
      </c>
      <c r="S171">
        <f t="shared" si="31"/>
        <v>0.45</v>
      </c>
      <c r="T171">
        <f t="shared" si="26"/>
        <v>99.243726049518671</v>
      </c>
      <c r="U171">
        <f t="shared" si="34"/>
        <v>0</v>
      </c>
      <c r="V171">
        <f t="shared" si="34"/>
        <v>0</v>
      </c>
      <c r="W171">
        <f t="shared" si="34"/>
        <v>0</v>
      </c>
      <c r="X171">
        <f t="shared" si="34"/>
        <v>0</v>
      </c>
      <c r="Y171">
        <f t="shared" si="34"/>
        <v>0.98063109085043088</v>
      </c>
      <c r="Z171">
        <f t="shared" si="34"/>
        <v>0.95694666099090597</v>
      </c>
      <c r="AA171">
        <f t="shared" si="34"/>
        <v>0.93383426298209904</v>
      </c>
      <c r="AB171">
        <f t="shared" si="34"/>
        <v>0.91128008097789603</v>
      </c>
      <c r="AC171">
        <f t="shared" si="34"/>
        <v>0.88927063281570717</v>
      </c>
      <c r="AD171">
        <f t="shared" si="34"/>
        <v>0.86779276195726485</v>
      </c>
    </row>
    <row r="172" spans="2:30">
      <c r="B172">
        <v>2.1124999999999998</v>
      </c>
      <c r="D172">
        <f t="shared" si="24"/>
        <v>0</v>
      </c>
      <c r="E172">
        <f t="shared" si="32"/>
        <v>0</v>
      </c>
      <c r="F172">
        <f t="shared" si="32"/>
        <v>0</v>
      </c>
      <c r="G172">
        <f t="shared" si="32"/>
        <v>0</v>
      </c>
      <c r="H172">
        <f t="shared" si="32"/>
        <v>2.25</v>
      </c>
      <c r="I172">
        <f t="shared" si="32"/>
        <v>2.25</v>
      </c>
      <c r="J172">
        <f t="shared" si="32"/>
        <v>2.25</v>
      </c>
      <c r="K172">
        <f t="shared" si="32"/>
        <v>2.25</v>
      </c>
      <c r="L172">
        <f t="shared" si="32"/>
        <v>2.25</v>
      </c>
      <c r="M172">
        <f t="shared" si="28"/>
        <v>102.25</v>
      </c>
      <c r="P172">
        <f t="shared" si="29"/>
        <v>2.1124999999999998</v>
      </c>
      <c r="Q172">
        <v>0.22500000000000001</v>
      </c>
      <c r="R172">
        <f t="shared" si="30"/>
        <v>98.798154044844054</v>
      </c>
      <c r="S172">
        <f t="shared" si="31"/>
        <v>0.50624999999999998</v>
      </c>
      <c r="T172">
        <f t="shared" si="26"/>
        <v>99.304404044844048</v>
      </c>
      <c r="U172">
        <f t="shared" si="34"/>
        <v>0</v>
      </c>
      <c r="V172">
        <f t="shared" si="34"/>
        <v>0</v>
      </c>
      <c r="W172">
        <f t="shared" si="34"/>
        <v>0</v>
      </c>
      <c r="X172">
        <f t="shared" si="34"/>
        <v>0</v>
      </c>
      <c r="Y172">
        <f t="shared" si="34"/>
        <v>0.98123065246621366</v>
      </c>
      <c r="Z172">
        <f t="shared" si="34"/>
        <v>0.95753174185529499</v>
      </c>
      <c r="AA172">
        <f t="shared" si="34"/>
        <v>0.93440521283756517</v>
      </c>
      <c r="AB172">
        <f t="shared" si="34"/>
        <v>0.91183724111984898</v>
      </c>
      <c r="AC172">
        <f t="shared" si="34"/>
        <v>0.8898143362965103</v>
      </c>
      <c r="AD172">
        <f t="shared" si="34"/>
        <v>0.86832333378532345</v>
      </c>
    </row>
    <row r="173" spans="2:30">
      <c r="B173">
        <v>2.125</v>
      </c>
      <c r="D173">
        <f t="shared" si="24"/>
        <v>0</v>
      </c>
      <c r="E173">
        <f t="shared" si="32"/>
        <v>0</v>
      </c>
      <c r="F173">
        <f t="shared" ref="E173:L204" si="35">IF($B173&lt;=F$2,100*$D$1/2,0)</f>
        <v>0</v>
      </c>
      <c r="G173">
        <f t="shared" si="35"/>
        <v>0</v>
      </c>
      <c r="H173">
        <f t="shared" si="35"/>
        <v>2.25</v>
      </c>
      <c r="I173">
        <f t="shared" si="35"/>
        <v>2.25</v>
      </c>
      <c r="J173">
        <f t="shared" si="35"/>
        <v>2.25</v>
      </c>
      <c r="K173">
        <f t="shared" si="35"/>
        <v>2.25</v>
      </c>
      <c r="L173">
        <f t="shared" si="35"/>
        <v>2.25</v>
      </c>
      <c r="M173">
        <f t="shared" si="28"/>
        <v>102.25</v>
      </c>
      <c r="P173">
        <f t="shared" si="29"/>
        <v>2.125</v>
      </c>
      <c r="Q173">
        <v>0.25</v>
      </c>
      <c r="R173">
        <f t="shared" si="30"/>
        <v>98.802619138928847</v>
      </c>
      <c r="S173">
        <f t="shared" si="31"/>
        <v>0.5625</v>
      </c>
      <c r="T173">
        <f t="shared" si="26"/>
        <v>99.365119138928847</v>
      </c>
      <c r="U173">
        <f t="shared" si="34"/>
        <v>0</v>
      </c>
      <c r="V173">
        <f t="shared" si="34"/>
        <v>0</v>
      </c>
      <c r="W173">
        <f t="shared" si="34"/>
        <v>0</v>
      </c>
      <c r="X173">
        <f t="shared" si="34"/>
        <v>0</v>
      </c>
      <c r="Y173">
        <f t="shared" si="34"/>
        <v>0.98183058065627116</v>
      </c>
      <c r="Z173">
        <f t="shared" si="34"/>
        <v>0.95811718044037208</v>
      </c>
      <c r="AA173">
        <f t="shared" si="34"/>
        <v>0.93497651177396635</v>
      </c>
      <c r="AB173">
        <f t="shared" si="34"/>
        <v>0.91239474191165282</v>
      </c>
      <c r="AC173">
        <f t="shared" si="34"/>
        <v>0.89035837219971004</v>
      </c>
      <c r="AD173">
        <f t="shared" si="34"/>
        <v>0.86885423000703577</v>
      </c>
    </row>
    <row r="174" spans="2:30">
      <c r="B174">
        <v>2.1375000000000002</v>
      </c>
      <c r="D174">
        <f t="shared" ref="D174:L229" si="36">IF($B174&lt;=D$2,100*$D$1/2,0)</f>
        <v>0</v>
      </c>
      <c r="E174">
        <f t="shared" si="35"/>
        <v>0</v>
      </c>
      <c r="F174">
        <f t="shared" si="35"/>
        <v>0</v>
      </c>
      <c r="G174">
        <f t="shared" si="35"/>
        <v>0</v>
      </c>
      <c r="H174">
        <f t="shared" si="35"/>
        <v>2.25</v>
      </c>
      <c r="I174">
        <f t="shared" si="35"/>
        <v>2.25</v>
      </c>
      <c r="J174">
        <f t="shared" si="35"/>
        <v>2.25</v>
      </c>
      <c r="K174">
        <f t="shared" si="35"/>
        <v>2.25</v>
      </c>
      <c r="L174">
        <f t="shared" si="35"/>
        <v>2.25</v>
      </c>
      <c r="M174">
        <f t="shared" si="28"/>
        <v>102.25</v>
      </c>
      <c r="P174">
        <f t="shared" si="29"/>
        <v>2.1375000000000002</v>
      </c>
      <c r="Q174">
        <v>0.27500000000000002</v>
      </c>
      <c r="R174">
        <f t="shared" si="30"/>
        <v>98.807121354455376</v>
      </c>
      <c r="S174">
        <f t="shared" si="31"/>
        <v>0.61875000000000002</v>
      </c>
      <c r="T174">
        <f t="shared" si="26"/>
        <v>99.425871354455381</v>
      </c>
      <c r="U174">
        <f t="shared" si="34"/>
        <v>0</v>
      </c>
      <c r="V174">
        <f t="shared" si="34"/>
        <v>0</v>
      </c>
      <c r="W174">
        <f t="shared" si="34"/>
        <v>0</v>
      </c>
      <c r="X174">
        <f t="shared" si="34"/>
        <v>0</v>
      </c>
      <c r="Y174">
        <f t="shared" si="34"/>
        <v>0.98243087564472875</v>
      </c>
      <c r="Z174">
        <f t="shared" si="34"/>
        <v>0.95870297696484874</v>
      </c>
      <c r="AA174">
        <f t="shared" si="34"/>
        <v>0.93554816000473162</v>
      </c>
      <c r="AB174">
        <f t="shared" si="34"/>
        <v>0.91295258356158249</v>
      </c>
      <c r="AC174">
        <f t="shared" si="34"/>
        <v>0.8909027407285508</v>
      </c>
      <c r="AD174">
        <f t="shared" si="34"/>
        <v>0.86938545082073737</v>
      </c>
    </row>
    <row r="175" spans="2:30">
      <c r="B175">
        <v>2.15</v>
      </c>
      <c r="D175">
        <f t="shared" si="36"/>
        <v>0</v>
      </c>
      <c r="E175">
        <f t="shared" si="35"/>
        <v>0</v>
      </c>
      <c r="F175">
        <f t="shared" si="35"/>
        <v>0</v>
      </c>
      <c r="G175">
        <f t="shared" si="35"/>
        <v>0</v>
      </c>
      <c r="H175">
        <f t="shared" si="35"/>
        <v>2.25</v>
      </c>
      <c r="I175">
        <f t="shared" si="35"/>
        <v>2.25</v>
      </c>
      <c r="J175">
        <f t="shared" si="35"/>
        <v>2.25</v>
      </c>
      <c r="K175">
        <f t="shared" si="35"/>
        <v>2.25</v>
      </c>
      <c r="L175">
        <f t="shared" si="35"/>
        <v>2.25</v>
      </c>
      <c r="M175">
        <f t="shared" si="28"/>
        <v>102.25</v>
      </c>
      <c r="P175">
        <f t="shared" si="29"/>
        <v>2.15</v>
      </c>
      <c r="Q175">
        <v>0.3</v>
      </c>
      <c r="R175">
        <f t="shared" si="30"/>
        <v>98.811660714119881</v>
      </c>
      <c r="S175">
        <f t="shared" si="31"/>
        <v>0.67499999999999993</v>
      </c>
      <c r="T175">
        <f t="shared" si="26"/>
        <v>99.486660714119878</v>
      </c>
      <c r="U175">
        <f t="shared" si="34"/>
        <v>0</v>
      </c>
      <c r="V175">
        <f t="shared" si="34"/>
        <v>0</v>
      </c>
      <c r="W175">
        <f t="shared" si="34"/>
        <v>0</v>
      </c>
      <c r="X175">
        <f t="shared" si="34"/>
        <v>0</v>
      </c>
      <c r="Y175">
        <f t="shared" si="34"/>
        <v>0.98303153765584805</v>
      </c>
      <c r="Z175">
        <f t="shared" si="34"/>
        <v>0.95928913164757079</v>
      </c>
      <c r="AA175">
        <f t="shared" si="34"/>
        <v>0.93612015774342094</v>
      </c>
      <c r="AB175">
        <f t="shared" si="34"/>
        <v>0.9135107662780394</v>
      </c>
      <c r="AC175">
        <f t="shared" si="34"/>
        <v>0.89144744208640103</v>
      </c>
      <c r="AD175">
        <f t="shared" si="34"/>
        <v>0.86991699642488507</v>
      </c>
    </row>
    <row r="176" spans="2:30">
      <c r="B176">
        <v>2.1625000000000001</v>
      </c>
      <c r="D176">
        <f t="shared" si="36"/>
        <v>0</v>
      </c>
      <c r="E176">
        <f t="shared" si="35"/>
        <v>0</v>
      </c>
      <c r="F176">
        <f t="shared" si="35"/>
        <v>0</v>
      </c>
      <c r="G176">
        <f t="shared" si="35"/>
        <v>0</v>
      </c>
      <c r="H176">
        <f t="shared" si="35"/>
        <v>2.25</v>
      </c>
      <c r="I176">
        <f t="shared" si="35"/>
        <v>2.25</v>
      </c>
      <c r="J176">
        <f t="shared" si="35"/>
        <v>2.25</v>
      </c>
      <c r="K176">
        <f t="shared" si="35"/>
        <v>2.25</v>
      </c>
      <c r="L176">
        <f t="shared" si="35"/>
        <v>2.25</v>
      </c>
      <c r="M176">
        <f t="shared" si="28"/>
        <v>102.25</v>
      </c>
      <c r="P176">
        <f t="shared" si="29"/>
        <v>2.1625000000000001</v>
      </c>
      <c r="Q176">
        <v>0.32500000000000001</v>
      </c>
      <c r="R176">
        <f t="shared" si="30"/>
        <v>98.816237240632361</v>
      </c>
      <c r="S176">
        <f t="shared" si="31"/>
        <v>0.73125000000000007</v>
      </c>
      <c r="T176">
        <f t="shared" si="26"/>
        <v>99.547487240632364</v>
      </c>
      <c r="U176">
        <f t="shared" si="34"/>
        <v>0</v>
      </c>
      <c r="V176">
        <f t="shared" si="34"/>
        <v>0</v>
      </c>
      <c r="W176">
        <f t="shared" si="34"/>
        <v>0</v>
      </c>
      <c r="X176">
        <f t="shared" si="34"/>
        <v>0</v>
      </c>
      <c r="Y176">
        <f t="shared" si="34"/>
        <v>0.98363256691402823</v>
      </c>
      <c r="Z176">
        <f t="shared" si="34"/>
        <v>0.95987564470751729</v>
      </c>
      <c r="AA176">
        <f t="shared" si="34"/>
        <v>0.93669250520372505</v>
      </c>
      <c r="AB176">
        <f t="shared" si="34"/>
        <v>0.91406929026955341</v>
      </c>
      <c r="AC176">
        <f t="shared" si="34"/>
        <v>0.89199247647675373</v>
      </c>
      <c r="AD176">
        <f t="shared" si="34"/>
        <v>0.87044886701805679</v>
      </c>
    </row>
    <row r="177" spans="2:30">
      <c r="B177">
        <v>2.1749999999999998</v>
      </c>
      <c r="D177">
        <f t="shared" si="36"/>
        <v>0</v>
      </c>
      <c r="E177">
        <f t="shared" si="35"/>
        <v>0</v>
      </c>
      <c r="F177">
        <f t="shared" si="35"/>
        <v>0</v>
      </c>
      <c r="G177">
        <f t="shared" si="35"/>
        <v>0</v>
      </c>
      <c r="H177">
        <f t="shared" si="35"/>
        <v>2.25</v>
      </c>
      <c r="I177">
        <f t="shared" si="35"/>
        <v>2.25</v>
      </c>
      <c r="J177">
        <f t="shared" si="35"/>
        <v>2.25</v>
      </c>
      <c r="K177">
        <f t="shared" si="35"/>
        <v>2.25</v>
      </c>
      <c r="L177">
        <f t="shared" si="35"/>
        <v>2.25</v>
      </c>
      <c r="M177">
        <f t="shared" si="28"/>
        <v>102.25</v>
      </c>
      <c r="P177">
        <f t="shared" si="29"/>
        <v>2.1749999999999998</v>
      </c>
      <c r="Q177">
        <v>0.35</v>
      </c>
      <c r="R177">
        <f t="shared" si="30"/>
        <v>98.820850956716811</v>
      </c>
      <c r="S177">
        <f t="shared" si="31"/>
        <v>0.78749999999999998</v>
      </c>
      <c r="T177">
        <f t="shared" si="26"/>
        <v>99.608350956716805</v>
      </c>
      <c r="U177">
        <f t="shared" si="34"/>
        <v>0</v>
      </c>
      <c r="V177">
        <f t="shared" si="34"/>
        <v>0</v>
      </c>
      <c r="W177">
        <f t="shared" si="34"/>
        <v>0</v>
      </c>
      <c r="X177">
        <f t="shared" si="34"/>
        <v>0</v>
      </c>
      <c r="Y177">
        <f t="shared" si="34"/>
        <v>0.98423396364380566</v>
      </c>
      <c r="Z177">
        <f t="shared" si="34"/>
        <v>0.96046251636380153</v>
      </c>
      <c r="AA177">
        <f t="shared" si="34"/>
        <v>0.93726520259946466</v>
      </c>
      <c r="AB177">
        <f t="shared" si="34"/>
        <v>0.91462815574478129</v>
      </c>
      <c r="AC177">
        <f t="shared" si="34"/>
        <v>0.89253784410322634</v>
      </c>
      <c r="AD177">
        <f t="shared" si="34"/>
        <v>0.87098106279895227</v>
      </c>
    </row>
    <row r="178" spans="2:30">
      <c r="B178">
        <v>2.1875</v>
      </c>
      <c r="D178">
        <f t="shared" si="36"/>
        <v>0</v>
      </c>
      <c r="E178">
        <f t="shared" si="35"/>
        <v>0</v>
      </c>
      <c r="F178">
        <f t="shared" si="35"/>
        <v>0</v>
      </c>
      <c r="G178">
        <f t="shared" si="35"/>
        <v>0</v>
      </c>
      <c r="H178">
        <f t="shared" si="35"/>
        <v>2.25</v>
      </c>
      <c r="I178">
        <f t="shared" si="35"/>
        <v>2.25</v>
      </c>
      <c r="J178">
        <f t="shared" si="35"/>
        <v>2.25</v>
      </c>
      <c r="K178">
        <f t="shared" si="35"/>
        <v>2.25</v>
      </c>
      <c r="L178">
        <f t="shared" si="35"/>
        <v>2.25</v>
      </c>
      <c r="M178">
        <f t="shared" si="28"/>
        <v>102.25</v>
      </c>
      <c r="P178">
        <f t="shared" si="29"/>
        <v>2.1875</v>
      </c>
      <c r="Q178">
        <v>0.375</v>
      </c>
      <c r="R178">
        <f t="shared" si="30"/>
        <v>98.825501885111052</v>
      </c>
      <c r="S178">
        <f t="shared" si="31"/>
        <v>0.84375</v>
      </c>
      <c r="T178">
        <f t="shared" si="26"/>
        <v>99.669251885111052</v>
      </c>
      <c r="U178">
        <f t="shared" si="34"/>
        <v>0</v>
      </c>
      <c r="V178">
        <f t="shared" si="34"/>
        <v>0</v>
      </c>
      <c r="W178">
        <f t="shared" si="34"/>
        <v>0</v>
      </c>
      <c r="X178">
        <f t="shared" si="34"/>
        <v>0</v>
      </c>
      <c r="Y178">
        <f t="shared" si="34"/>
        <v>0.98483572806985353</v>
      </c>
      <c r="Z178">
        <f t="shared" si="34"/>
        <v>0.96104974683567079</v>
      </c>
      <c r="AA178">
        <f t="shared" si="34"/>
        <v>0.9378382501445921</v>
      </c>
      <c r="AB178">
        <f t="shared" si="34"/>
        <v>0.91518736291250746</v>
      </c>
      <c r="AC178">
        <f t="shared" si="34"/>
        <v>0.89308354516956079</v>
      </c>
      <c r="AD178">
        <f t="shared" si="34"/>
        <v>0.87151358396639256</v>
      </c>
    </row>
    <row r="179" spans="2:30">
      <c r="B179">
        <v>2.2000000000000002</v>
      </c>
      <c r="D179">
        <f t="shared" si="36"/>
        <v>0</v>
      </c>
      <c r="E179">
        <f t="shared" si="35"/>
        <v>0</v>
      </c>
      <c r="F179">
        <f t="shared" si="35"/>
        <v>0</v>
      </c>
      <c r="G179">
        <f t="shared" si="35"/>
        <v>0</v>
      </c>
      <c r="H179">
        <f t="shared" si="35"/>
        <v>2.25</v>
      </c>
      <c r="I179">
        <f t="shared" si="35"/>
        <v>2.25</v>
      </c>
      <c r="J179">
        <f t="shared" si="35"/>
        <v>2.25</v>
      </c>
      <c r="K179">
        <f t="shared" si="35"/>
        <v>2.25</v>
      </c>
      <c r="L179">
        <f t="shared" si="35"/>
        <v>2.25</v>
      </c>
      <c r="M179">
        <f t="shared" si="28"/>
        <v>102.25</v>
      </c>
      <c r="P179">
        <f t="shared" si="29"/>
        <v>2.2000000000000002</v>
      </c>
      <c r="Q179">
        <v>0.4</v>
      </c>
      <c r="R179">
        <f t="shared" si="30"/>
        <v>98.830190048566863</v>
      </c>
      <c r="S179">
        <f t="shared" si="31"/>
        <v>0.9</v>
      </c>
      <c r="T179">
        <f t="shared" si="26"/>
        <v>99.730190048566868</v>
      </c>
      <c r="U179">
        <f t="shared" ref="U179:AD194" si="37">IF((1/(1+$O$3/2)^((U$2-$P179)*2))&lt;=1,1/(1+$O$3/2)^((U$2-$P179)*2),0)</f>
        <v>0</v>
      </c>
      <c r="V179">
        <f t="shared" si="37"/>
        <v>0</v>
      </c>
      <c r="W179">
        <f t="shared" si="37"/>
        <v>0</v>
      </c>
      <c r="X179">
        <f t="shared" si="37"/>
        <v>0</v>
      </c>
      <c r="Y179">
        <f t="shared" si="37"/>
        <v>0.98543786041698334</v>
      </c>
      <c r="Z179">
        <f t="shared" si="37"/>
        <v>0.96163733634250614</v>
      </c>
      <c r="AA179">
        <f t="shared" si="37"/>
        <v>0.93841164805318977</v>
      </c>
      <c r="AB179">
        <f t="shared" si="37"/>
        <v>0.91574691198164393</v>
      </c>
      <c r="AC179">
        <f t="shared" si="37"/>
        <v>0.89362957987962333</v>
      </c>
      <c r="AD179">
        <f t="shared" si="37"/>
        <v>0.87204643071932009</v>
      </c>
    </row>
    <row r="180" spans="2:30">
      <c r="B180">
        <v>2.2124999999999999</v>
      </c>
      <c r="D180">
        <f t="shared" si="36"/>
        <v>0</v>
      </c>
      <c r="E180">
        <f t="shared" si="35"/>
        <v>0</v>
      </c>
      <c r="F180">
        <f t="shared" si="35"/>
        <v>0</v>
      </c>
      <c r="G180">
        <f t="shared" si="35"/>
        <v>0</v>
      </c>
      <c r="H180">
        <f t="shared" si="35"/>
        <v>2.25</v>
      </c>
      <c r="I180">
        <f t="shared" si="35"/>
        <v>2.25</v>
      </c>
      <c r="J180">
        <f t="shared" si="35"/>
        <v>2.25</v>
      </c>
      <c r="K180">
        <f t="shared" si="35"/>
        <v>2.25</v>
      </c>
      <c r="L180">
        <f t="shared" si="35"/>
        <v>2.25</v>
      </c>
      <c r="M180">
        <f t="shared" si="28"/>
        <v>102.25</v>
      </c>
      <c r="P180">
        <f t="shared" si="29"/>
        <v>2.2124999999999999</v>
      </c>
      <c r="Q180">
        <v>0.42499999999999999</v>
      </c>
      <c r="R180">
        <f t="shared" si="30"/>
        <v>98.834915469849889</v>
      </c>
      <c r="S180">
        <f t="shared" si="31"/>
        <v>0.95624999999999993</v>
      </c>
      <c r="T180">
        <f t="shared" si="26"/>
        <v>99.791165469849886</v>
      </c>
      <c r="U180">
        <f t="shared" si="37"/>
        <v>0</v>
      </c>
      <c r="V180">
        <f t="shared" si="37"/>
        <v>0</v>
      </c>
      <c r="W180">
        <f t="shared" si="37"/>
        <v>0</v>
      </c>
      <c r="X180">
        <f t="shared" si="37"/>
        <v>0</v>
      </c>
      <c r="Y180">
        <f t="shared" si="37"/>
        <v>0.98604036091014291</v>
      </c>
      <c r="Z180">
        <f t="shared" si="37"/>
        <v>0.96222528510382321</v>
      </c>
      <c r="AA180">
        <f t="shared" si="37"/>
        <v>0.93898539653947122</v>
      </c>
      <c r="AB180">
        <f t="shared" si="37"/>
        <v>0.9163068031612307</v>
      </c>
      <c r="AC180">
        <f t="shared" si="37"/>
        <v>0.89417594843740489</v>
      </c>
      <c r="AD180">
        <f t="shared" si="37"/>
        <v>0.87257960325679917</v>
      </c>
    </row>
    <row r="181" spans="2:30">
      <c r="B181">
        <v>2.2250000000000001</v>
      </c>
      <c r="D181">
        <f t="shared" si="36"/>
        <v>0</v>
      </c>
      <c r="E181">
        <f t="shared" si="35"/>
        <v>0</v>
      </c>
      <c r="F181">
        <f t="shared" si="35"/>
        <v>0</v>
      </c>
      <c r="G181">
        <f t="shared" si="35"/>
        <v>0</v>
      </c>
      <c r="H181">
        <f t="shared" si="35"/>
        <v>2.25</v>
      </c>
      <c r="I181">
        <f t="shared" si="35"/>
        <v>2.25</v>
      </c>
      <c r="J181">
        <f t="shared" si="35"/>
        <v>2.25</v>
      </c>
      <c r="K181">
        <f t="shared" si="35"/>
        <v>2.25</v>
      </c>
      <c r="L181">
        <f t="shared" si="35"/>
        <v>2.25</v>
      </c>
      <c r="M181">
        <f t="shared" si="28"/>
        <v>102.25</v>
      </c>
      <c r="P181">
        <f t="shared" si="29"/>
        <v>2.2250000000000001</v>
      </c>
      <c r="Q181">
        <v>0.45</v>
      </c>
      <c r="R181">
        <f t="shared" si="30"/>
        <v>98.839678171739692</v>
      </c>
      <c r="S181">
        <f t="shared" si="31"/>
        <v>1.0125</v>
      </c>
      <c r="T181">
        <f t="shared" si="26"/>
        <v>99.852178171739695</v>
      </c>
      <c r="U181">
        <f t="shared" si="37"/>
        <v>0</v>
      </c>
      <c r="V181">
        <f t="shared" si="37"/>
        <v>0</v>
      </c>
      <c r="W181">
        <f t="shared" si="37"/>
        <v>0</v>
      </c>
      <c r="X181">
        <f t="shared" si="37"/>
        <v>0</v>
      </c>
      <c r="Y181">
        <f t="shared" si="37"/>
        <v>0.98664322977441832</v>
      </c>
      <c r="Z181">
        <f t="shared" si="37"/>
        <v>0.96281359333927141</v>
      </c>
      <c r="AA181">
        <f t="shared" si="37"/>
        <v>0.93955949581778131</v>
      </c>
      <c r="AB181">
        <f t="shared" si="37"/>
        <v>0.91686703666043545</v>
      </c>
      <c r="AC181">
        <f t="shared" si="37"/>
        <v>0.89472265104702164</v>
      </c>
      <c r="AD181">
        <f t="shared" si="37"/>
        <v>0.87311310177801571</v>
      </c>
    </row>
    <row r="182" spans="2:30">
      <c r="B182">
        <v>2.2374999999999998</v>
      </c>
      <c r="D182">
        <f t="shared" si="36"/>
        <v>0</v>
      </c>
      <c r="E182">
        <f t="shared" si="35"/>
        <v>0</v>
      </c>
      <c r="F182">
        <f t="shared" si="35"/>
        <v>0</v>
      </c>
      <c r="G182">
        <f t="shared" si="35"/>
        <v>0</v>
      </c>
      <c r="H182">
        <f t="shared" si="35"/>
        <v>2.25</v>
      </c>
      <c r="I182">
        <f t="shared" si="35"/>
        <v>2.25</v>
      </c>
      <c r="J182">
        <f t="shared" si="35"/>
        <v>2.25</v>
      </c>
      <c r="K182">
        <f t="shared" si="35"/>
        <v>2.25</v>
      </c>
      <c r="L182">
        <f t="shared" si="35"/>
        <v>2.25</v>
      </c>
      <c r="M182">
        <f t="shared" si="28"/>
        <v>102.25</v>
      </c>
      <c r="P182">
        <f t="shared" si="29"/>
        <v>2.2374999999999998</v>
      </c>
      <c r="Q182">
        <v>0.47499999999999998</v>
      </c>
      <c r="R182">
        <f t="shared" si="30"/>
        <v>98.844478177029799</v>
      </c>
      <c r="S182">
        <f t="shared" si="31"/>
        <v>1.0687499999999999</v>
      </c>
      <c r="T182">
        <f t="shared" si="26"/>
        <v>99.913228177029794</v>
      </c>
      <c r="U182">
        <f t="shared" si="37"/>
        <v>0</v>
      </c>
      <c r="V182">
        <f t="shared" si="37"/>
        <v>0</v>
      </c>
      <c r="W182">
        <f t="shared" si="37"/>
        <v>0</v>
      </c>
      <c r="X182">
        <f t="shared" si="37"/>
        <v>0</v>
      </c>
      <c r="Y182">
        <f t="shared" si="37"/>
        <v>0.98724646723503318</v>
      </c>
      <c r="Z182">
        <f t="shared" si="37"/>
        <v>0.96340226126863449</v>
      </c>
      <c r="AA182">
        <f t="shared" si="37"/>
        <v>0.94013394610259526</v>
      </c>
      <c r="AB182">
        <f t="shared" si="37"/>
        <v>0.91742761268855355</v>
      </c>
      <c r="AC182">
        <f t="shared" si="37"/>
        <v>0.89526968791271377</v>
      </c>
      <c r="AD182">
        <f t="shared" si="37"/>
        <v>0.87364692648227726</v>
      </c>
    </row>
    <row r="183" spans="2:30">
      <c r="B183">
        <v>2.25</v>
      </c>
      <c r="D183">
        <f t="shared" si="36"/>
        <v>0</v>
      </c>
      <c r="E183">
        <f t="shared" si="35"/>
        <v>0</v>
      </c>
      <c r="F183">
        <f t="shared" si="35"/>
        <v>0</v>
      </c>
      <c r="G183">
        <f t="shared" si="35"/>
        <v>0</v>
      </c>
      <c r="H183">
        <f t="shared" si="35"/>
        <v>2.25</v>
      </c>
      <c r="I183">
        <f t="shared" si="35"/>
        <v>2.25</v>
      </c>
      <c r="J183">
        <f t="shared" si="35"/>
        <v>2.25</v>
      </c>
      <c r="K183">
        <f t="shared" si="35"/>
        <v>2.25</v>
      </c>
      <c r="L183">
        <f t="shared" si="35"/>
        <v>2.25</v>
      </c>
      <c r="M183">
        <f t="shared" si="28"/>
        <v>102.25</v>
      </c>
      <c r="P183">
        <f t="shared" si="29"/>
        <v>2.25</v>
      </c>
      <c r="Q183">
        <v>0.5</v>
      </c>
      <c r="R183">
        <f t="shared" si="30"/>
        <v>98.849315508527653</v>
      </c>
      <c r="S183">
        <f t="shared" si="31"/>
        <v>1.125</v>
      </c>
      <c r="T183">
        <f t="shared" si="26"/>
        <v>99.974315508527653</v>
      </c>
      <c r="U183">
        <f t="shared" si="37"/>
        <v>0</v>
      </c>
      <c r="V183">
        <f t="shared" si="37"/>
        <v>0</v>
      </c>
      <c r="W183">
        <f t="shared" si="37"/>
        <v>0</v>
      </c>
      <c r="X183">
        <f t="shared" si="37"/>
        <v>0</v>
      </c>
      <c r="Y183">
        <f t="shared" si="37"/>
        <v>0.98785007351734877</v>
      </c>
      <c r="Z183">
        <f t="shared" si="37"/>
        <v>0.96399128911183096</v>
      </c>
      <c r="AA183">
        <f t="shared" si="37"/>
        <v>0.94070874760851986</v>
      </c>
      <c r="AB183">
        <f t="shared" si="37"/>
        <v>0.91798853145500836</v>
      </c>
      <c r="AC183">
        <f t="shared" si="37"/>
        <v>0.89581705923884691</v>
      </c>
      <c r="AD183">
        <f t="shared" si="37"/>
        <v>0.87418107756901375</v>
      </c>
    </row>
    <row r="184" spans="2:30">
      <c r="B184">
        <v>2.2625000000000002</v>
      </c>
      <c r="D184">
        <f t="shared" si="36"/>
        <v>0</v>
      </c>
      <c r="E184">
        <f t="shared" si="35"/>
        <v>0</v>
      </c>
      <c r="F184">
        <f t="shared" si="35"/>
        <v>0</v>
      </c>
      <c r="G184">
        <f t="shared" si="35"/>
        <v>0</v>
      </c>
      <c r="H184">
        <f t="shared" si="35"/>
        <v>2.25</v>
      </c>
      <c r="I184">
        <f t="shared" si="35"/>
        <v>2.25</v>
      </c>
      <c r="J184">
        <f t="shared" si="35"/>
        <v>2.25</v>
      </c>
      <c r="K184">
        <f t="shared" si="35"/>
        <v>2.25</v>
      </c>
      <c r="L184">
        <f t="shared" si="35"/>
        <v>2.25</v>
      </c>
      <c r="M184">
        <f t="shared" si="28"/>
        <v>102.25</v>
      </c>
      <c r="P184">
        <f t="shared" si="29"/>
        <v>2.2625000000000002</v>
      </c>
      <c r="Q184">
        <v>0.52500000000000002</v>
      </c>
      <c r="R184">
        <f t="shared" si="30"/>
        <v>98.85419018905462</v>
      </c>
      <c r="S184">
        <f t="shared" si="31"/>
        <v>1.1812500000000001</v>
      </c>
      <c r="T184">
        <f t="shared" si="26"/>
        <v>100.03544018905463</v>
      </c>
      <c r="U184">
        <f t="shared" si="37"/>
        <v>0</v>
      </c>
      <c r="V184">
        <f t="shared" si="37"/>
        <v>0</v>
      </c>
      <c r="W184">
        <f t="shared" si="37"/>
        <v>0</v>
      </c>
      <c r="X184">
        <f t="shared" si="37"/>
        <v>0</v>
      </c>
      <c r="Y184">
        <f t="shared" si="37"/>
        <v>0.98845404884686383</v>
      </c>
      <c r="Z184">
        <f t="shared" si="37"/>
        <v>0.96458067708891304</v>
      </c>
      <c r="AA184">
        <f t="shared" si="37"/>
        <v>0.94128390055029321</v>
      </c>
      <c r="AB184">
        <f t="shared" si="37"/>
        <v>0.91854979316935181</v>
      </c>
      <c r="AC184">
        <f t="shared" si="37"/>
        <v>0.89636476522991149</v>
      </c>
      <c r="AD184">
        <f t="shared" si="37"/>
        <v>0.87471555523777633</v>
      </c>
    </row>
    <row r="185" spans="2:30">
      <c r="B185">
        <v>2.2749999999999999</v>
      </c>
      <c r="D185">
        <f t="shared" si="36"/>
        <v>0</v>
      </c>
      <c r="E185">
        <f t="shared" si="35"/>
        <v>0</v>
      </c>
      <c r="F185">
        <f t="shared" si="35"/>
        <v>0</v>
      </c>
      <c r="G185">
        <f t="shared" si="35"/>
        <v>0</v>
      </c>
      <c r="H185">
        <f t="shared" si="35"/>
        <v>2.25</v>
      </c>
      <c r="I185">
        <f t="shared" si="35"/>
        <v>2.25</v>
      </c>
      <c r="J185">
        <f t="shared" si="35"/>
        <v>2.25</v>
      </c>
      <c r="K185">
        <f t="shared" si="35"/>
        <v>2.25</v>
      </c>
      <c r="L185">
        <f t="shared" si="35"/>
        <v>2.25</v>
      </c>
      <c r="M185">
        <f t="shared" si="28"/>
        <v>102.25</v>
      </c>
      <c r="P185">
        <f t="shared" si="29"/>
        <v>2.2749999999999999</v>
      </c>
      <c r="Q185">
        <v>0.55000000000000004</v>
      </c>
      <c r="R185">
        <f t="shared" si="30"/>
        <v>98.859102241446095</v>
      </c>
      <c r="S185">
        <f t="shared" si="31"/>
        <v>1.2375</v>
      </c>
      <c r="T185">
        <f t="shared" si="26"/>
        <v>100.09660224144609</v>
      </c>
      <c r="U185">
        <f t="shared" si="37"/>
        <v>0</v>
      </c>
      <c r="V185">
        <f t="shared" si="37"/>
        <v>0</v>
      </c>
      <c r="W185">
        <f t="shared" si="37"/>
        <v>0</v>
      </c>
      <c r="X185">
        <f t="shared" si="37"/>
        <v>0</v>
      </c>
      <c r="Y185">
        <f t="shared" si="37"/>
        <v>0.98905839344921531</v>
      </c>
      <c r="Z185">
        <f t="shared" si="37"/>
        <v>0.96517042542006859</v>
      </c>
      <c r="AA185">
        <f t="shared" si="37"/>
        <v>0.94185940514278454</v>
      </c>
      <c r="AB185">
        <f t="shared" si="37"/>
        <v>0.91911139804126329</v>
      </c>
      <c r="AC185">
        <f t="shared" si="37"/>
        <v>0.89691280609052282</v>
      </c>
      <c r="AD185">
        <f t="shared" si="37"/>
        <v>0.87525035968823883</v>
      </c>
    </row>
    <row r="186" spans="2:30">
      <c r="B186">
        <v>2.2875000000000001</v>
      </c>
      <c r="D186">
        <f t="shared" si="36"/>
        <v>0</v>
      </c>
      <c r="E186">
        <f t="shared" si="35"/>
        <v>0</v>
      </c>
      <c r="F186">
        <f t="shared" si="35"/>
        <v>0</v>
      </c>
      <c r="G186">
        <f t="shared" si="35"/>
        <v>0</v>
      </c>
      <c r="H186">
        <f t="shared" si="35"/>
        <v>2.25</v>
      </c>
      <c r="I186">
        <f t="shared" si="35"/>
        <v>2.25</v>
      </c>
      <c r="J186">
        <f t="shared" si="35"/>
        <v>2.25</v>
      </c>
      <c r="K186">
        <f t="shared" si="35"/>
        <v>2.25</v>
      </c>
      <c r="L186">
        <f t="shared" si="35"/>
        <v>2.25</v>
      </c>
      <c r="M186">
        <f t="shared" si="28"/>
        <v>102.25</v>
      </c>
      <c r="P186">
        <f t="shared" si="29"/>
        <v>2.2875000000000001</v>
      </c>
      <c r="Q186">
        <v>0.57499999999999996</v>
      </c>
      <c r="R186">
        <f t="shared" si="30"/>
        <v>98.864051688551314</v>
      </c>
      <c r="S186">
        <f t="shared" si="31"/>
        <v>1.29375</v>
      </c>
      <c r="T186">
        <f t="shared" si="26"/>
        <v>100.15780168855132</v>
      </c>
      <c r="U186">
        <f t="shared" si="37"/>
        <v>0</v>
      </c>
      <c r="V186">
        <f t="shared" si="37"/>
        <v>0</v>
      </c>
      <c r="W186">
        <f t="shared" si="37"/>
        <v>0</v>
      </c>
      <c r="X186">
        <f t="shared" si="37"/>
        <v>0</v>
      </c>
      <c r="Y186">
        <f t="shared" si="37"/>
        <v>0.98966310755017817</v>
      </c>
      <c r="Z186">
        <f t="shared" si="37"/>
        <v>0.96576053432561904</v>
      </c>
      <c r="AA186">
        <f t="shared" si="37"/>
        <v>0.94243526160099433</v>
      </c>
      <c r="AB186">
        <f t="shared" si="37"/>
        <v>0.91967334628055075</v>
      </c>
      <c r="AC186">
        <f t="shared" si="37"/>
        <v>0.89746118202542147</v>
      </c>
      <c r="AD186">
        <f t="shared" si="37"/>
        <v>0.87578549112019655</v>
      </c>
    </row>
    <row r="187" spans="2:30">
      <c r="B187">
        <v>2.2999999999999998</v>
      </c>
      <c r="D187">
        <f t="shared" si="36"/>
        <v>0</v>
      </c>
      <c r="E187">
        <f t="shared" si="35"/>
        <v>0</v>
      </c>
      <c r="F187">
        <f t="shared" si="35"/>
        <v>0</v>
      </c>
      <c r="G187">
        <f t="shared" si="35"/>
        <v>0</v>
      </c>
      <c r="H187">
        <f t="shared" si="35"/>
        <v>2.25</v>
      </c>
      <c r="I187">
        <f t="shared" si="35"/>
        <v>2.25</v>
      </c>
      <c r="J187">
        <f t="shared" si="35"/>
        <v>2.25</v>
      </c>
      <c r="K187">
        <f t="shared" si="35"/>
        <v>2.25</v>
      </c>
      <c r="L187">
        <f t="shared" si="35"/>
        <v>2.25</v>
      </c>
      <c r="M187">
        <f t="shared" si="28"/>
        <v>102.25</v>
      </c>
      <c r="P187">
        <f t="shared" si="29"/>
        <v>2.2999999999999998</v>
      </c>
      <c r="Q187">
        <v>0.6</v>
      </c>
      <c r="R187">
        <f t="shared" si="30"/>
        <v>98.86903855323358</v>
      </c>
      <c r="S187">
        <f t="shared" si="31"/>
        <v>1.3499999999999999</v>
      </c>
      <c r="T187">
        <f t="shared" si="26"/>
        <v>100.21903855323357</v>
      </c>
      <c r="U187">
        <f t="shared" si="37"/>
        <v>0</v>
      </c>
      <c r="V187">
        <f t="shared" si="37"/>
        <v>0</v>
      </c>
      <c r="W187">
        <f t="shared" si="37"/>
        <v>0</v>
      </c>
      <c r="X187">
        <f t="shared" si="37"/>
        <v>0</v>
      </c>
      <c r="Y187">
        <f t="shared" si="37"/>
        <v>0.99026819137566513</v>
      </c>
      <c r="Z187">
        <f t="shared" si="37"/>
        <v>0.96635100402602103</v>
      </c>
      <c r="AA187">
        <f t="shared" si="37"/>
        <v>0.9430114701400546</v>
      </c>
      <c r="AB187">
        <f t="shared" si="37"/>
        <v>0.92023563809715014</v>
      </c>
      <c r="AC187">
        <f t="shared" si="37"/>
        <v>0.89800989323947311</v>
      </c>
      <c r="AD187">
        <f t="shared" si="37"/>
        <v>0.87632094973356733</v>
      </c>
    </row>
    <row r="188" spans="2:30">
      <c r="B188">
        <v>2.3125</v>
      </c>
      <c r="D188">
        <f t="shared" si="36"/>
        <v>0</v>
      </c>
      <c r="E188">
        <f t="shared" si="35"/>
        <v>0</v>
      </c>
      <c r="F188">
        <f t="shared" si="35"/>
        <v>0</v>
      </c>
      <c r="G188">
        <f t="shared" si="35"/>
        <v>0</v>
      </c>
      <c r="H188">
        <f t="shared" si="35"/>
        <v>2.25</v>
      </c>
      <c r="I188">
        <f t="shared" si="35"/>
        <v>2.25</v>
      </c>
      <c r="J188">
        <f t="shared" si="35"/>
        <v>2.25</v>
      </c>
      <c r="K188">
        <f t="shared" si="35"/>
        <v>2.25</v>
      </c>
      <c r="L188">
        <f t="shared" si="35"/>
        <v>2.25</v>
      </c>
      <c r="M188">
        <f t="shared" si="28"/>
        <v>102.25</v>
      </c>
      <c r="P188">
        <f t="shared" si="29"/>
        <v>2.3125</v>
      </c>
      <c r="Q188">
        <v>0.625</v>
      </c>
      <c r="R188">
        <f t="shared" si="30"/>
        <v>98.874062858370124</v>
      </c>
      <c r="S188">
        <f t="shared" si="31"/>
        <v>1.40625</v>
      </c>
      <c r="T188">
        <f t="shared" si="26"/>
        <v>100.28031285837012</v>
      </c>
      <c r="U188">
        <f t="shared" si="37"/>
        <v>0</v>
      </c>
      <c r="V188">
        <f t="shared" si="37"/>
        <v>0</v>
      </c>
      <c r="W188">
        <f t="shared" si="37"/>
        <v>0</v>
      </c>
      <c r="X188">
        <f t="shared" si="37"/>
        <v>0</v>
      </c>
      <c r="Y188">
        <f t="shared" si="37"/>
        <v>0.99087364515172727</v>
      </c>
      <c r="Z188">
        <f t="shared" si="37"/>
        <v>0.96694183474186624</v>
      </c>
      <c r="AA188">
        <f t="shared" si="37"/>
        <v>0.94358803097522914</v>
      </c>
      <c r="AB188">
        <f t="shared" si="37"/>
        <v>0.92079827370112621</v>
      </c>
      <c r="AC188">
        <f t="shared" si="37"/>
        <v>0.89855893993766889</v>
      </c>
      <c r="AD188">
        <f t="shared" si="37"/>
        <v>0.87685673572839107</v>
      </c>
    </row>
    <row r="189" spans="2:30">
      <c r="B189">
        <v>2.3250000000000002</v>
      </c>
      <c r="D189">
        <f t="shared" si="36"/>
        <v>0</v>
      </c>
      <c r="E189">
        <f t="shared" si="35"/>
        <v>0</v>
      </c>
      <c r="F189">
        <f t="shared" si="35"/>
        <v>0</v>
      </c>
      <c r="G189">
        <f t="shared" si="35"/>
        <v>0</v>
      </c>
      <c r="H189">
        <f t="shared" si="35"/>
        <v>2.25</v>
      </c>
      <c r="I189">
        <f t="shared" si="35"/>
        <v>2.25</v>
      </c>
      <c r="J189">
        <f t="shared" si="35"/>
        <v>2.25</v>
      </c>
      <c r="K189">
        <f t="shared" si="35"/>
        <v>2.25</v>
      </c>
      <c r="L189">
        <f t="shared" si="35"/>
        <v>2.25</v>
      </c>
      <c r="M189">
        <f t="shared" si="28"/>
        <v>102.25</v>
      </c>
      <c r="P189">
        <f t="shared" si="29"/>
        <v>2.3250000000000002</v>
      </c>
      <c r="Q189">
        <v>0.65</v>
      </c>
      <c r="R189">
        <f t="shared" si="30"/>
        <v>98.879124626852217</v>
      </c>
      <c r="S189">
        <f t="shared" si="31"/>
        <v>1.4625000000000001</v>
      </c>
      <c r="T189">
        <f t="shared" si="26"/>
        <v>100.34162462685222</v>
      </c>
      <c r="U189">
        <f t="shared" si="37"/>
        <v>0</v>
      </c>
      <c r="V189">
        <f t="shared" si="37"/>
        <v>0</v>
      </c>
      <c r="W189">
        <f t="shared" si="37"/>
        <v>0</v>
      </c>
      <c r="X189">
        <f t="shared" si="37"/>
        <v>0</v>
      </c>
      <c r="Y189">
        <f t="shared" si="37"/>
        <v>0.99147946910455398</v>
      </c>
      <c r="Z189">
        <f t="shared" si="37"/>
        <v>0.96753302669388042</v>
      </c>
      <c r="AA189">
        <f t="shared" si="37"/>
        <v>0.94416494432191289</v>
      </c>
      <c r="AB189">
        <f t="shared" si="37"/>
        <v>0.92136125330267171</v>
      </c>
      <c r="AC189">
        <f t="shared" si="37"/>
        <v>0.89910832232512494</v>
      </c>
      <c r="AD189">
        <f t="shared" si="37"/>
        <v>0.8773928493048303</v>
      </c>
    </row>
    <row r="190" spans="2:30">
      <c r="B190">
        <v>2.3374999999999999</v>
      </c>
      <c r="D190">
        <f t="shared" si="36"/>
        <v>0</v>
      </c>
      <c r="E190">
        <f t="shared" si="35"/>
        <v>0</v>
      </c>
      <c r="F190">
        <f t="shared" si="35"/>
        <v>0</v>
      </c>
      <c r="G190">
        <f t="shared" si="35"/>
        <v>0</v>
      </c>
      <c r="H190">
        <f t="shared" si="35"/>
        <v>2.25</v>
      </c>
      <c r="I190">
        <f t="shared" si="35"/>
        <v>2.25</v>
      </c>
      <c r="J190">
        <f t="shared" si="35"/>
        <v>2.25</v>
      </c>
      <c r="K190">
        <f t="shared" si="35"/>
        <v>2.25</v>
      </c>
      <c r="L190">
        <f t="shared" si="35"/>
        <v>2.25</v>
      </c>
      <c r="M190">
        <f t="shared" si="28"/>
        <v>102.25</v>
      </c>
      <c r="P190">
        <f t="shared" si="29"/>
        <v>2.3374999999999999</v>
      </c>
      <c r="Q190">
        <v>0.67500000000000004</v>
      </c>
      <c r="R190">
        <f t="shared" si="30"/>
        <v>98.884223881585072</v>
      </c>
      <c r="S190">
        <f t="shared" si="31"/>
        <v>1.51875</v>
      </c>
      <c r="T190">
        <f t="shared" si="26"/>
        <v>100.40297388158507</v>
      </c>
      <c r="U190">
        <f t="shared" si="37"/>
        <v>0</v>
      </c>
      <c r="V190">
        <f t="shared" si="37"/>
        <v>0</v>
      </c>
      <c r="W190">
        <f t="shared" si="37"/>
        <v>0</v>
      </c>
      <c r="X190">
        <f t="shared" si="37"/>
        <v>0</v>
      </c>
      <c r="Y190">
        <f t="shared" si="37"/>
        <v>0.99208566346047244</v>
      </c>
      <c r="Z190">
        <f t="shared" si="37"/>
        <v>0.9681245801029249</v>
      </c>
      <c r="AA190">
        <f t="shared" si="37"/>
        <v>0.94474221039563289</v>
      </c>
      <c r="AB190">
        <f t="shared" si="37"/>
        <v>0.92192457711210829</v>
      </c>
      <c r="AC190">
        <f t="shared" si="37"/>
        <v>0.89965804060708299</v>
      </c>
      <c r="AD190">
        <f t="shared" si="37"/>
        <v>0.87792929066316927</v>
      </c>
    </row>
    <row r="191" spans="2:30">
      <c r="B191">
        <v>2.35</v>
      </c>
      <c r="D191">
        <f t="shared" si="36"/>
        <v>0</v>
      </c>
      <c r="E191">
        <f t="shared" si="35"/>
        <v>0</v>
      </c>
      <c r="F191">
        <f t="shared" si="35"/>
        <v>0</v>
      </c>
      <c r="G191">
        <f t="shared" si="35"/>
        <v>0</v>
      </c>
      <c r="H191">
        <f t="shared" si="35"/>
        <v>2.25</v>
      </c>
      <c r="I191">
        <f t="shared" si="35"/>
        <v>2.25</v>
      </c>
      <c r="J191">
        <f t="shared" si="35"/>
        <v>2.25</v>
      </c>
      <c r="K191">
        <f t="shared" si="35"/>
        <v>2.25</v>
      </c>
      <c r="L191">
        <f t="shared" si="35"/>
        <v>2.25</v>
      </c>
      <c r="M191">
        <f t="shared" si="28"/>
        <v>102.25</v>
      </c>
      <c r="P191">
        <f t="shared" si="29"/>
        <v>2.35</v>
      </c>
      <c r="Q191">
        <v>0.7</v>
      </c>
      <c r="R191">
        <f t="shared" si="30"/>
        <v>98.889360645487926</v>
      </c>
      <c r="S191">
        <f t="shared" si="31"/>
        <v>1.575</v>
      </c>
      <c r="T191">
        <f t="shared" si="26"/>
        <v>100.46436064548793</v>
      </c>
      <c r="U191">
        <f t="shared" si="37"/>
        <v>0</v>
      </c>
      <c r="V191">
        <f t="shared" si="37"/>
        <v>0</v>
      </c>
      <c r="W191">
        <f t="shared" si="37"/>
        <v>0</v>
      </c>
      <c r="X191">
        <f t="shared" si="37"/>
        <v>0</v>
      </c>
      <c r="Y191">
        <f t="shared" si="37"/>
        <v>0.99269222844594862</v>
      </c>
      <c r="Z191">
        <f t="shared" si="37"/>
        <v>0.96871649518999625</v>
      </c>
      <c r="AA191">
        <f t="shared" si="37"/>
        <v>0.94531982941204795</v>
      </c>
      <c r="AB191">
        <f t="shared" si="37"/>
        <v>0.9224882453398856</v>
      </c>
      <c r="AC191">
        <f t="shared" si="37"/>
        <v>0.90020809498891008</v>
      </c>
      <c r="AD191">
        <f t="shared" si="37"/>
        <v>0.87846606000381566</v>
      </c>
    </row>
    <row r="192" spans="2:30">
      <c r="B192">
        <v>2.3624999999999998</v>
      </c>
      <c r="D192">
        <f t="shared" si="36"/>
        <v>0</v>
      </c>
      <c r="E192">
        <f t="shared" si="35"/>
        <v>0</v>
      </c>
      <c r="F192">
        <f t="shared" si="35"/>
        <v>0</v>
      </c>
      <c r="G192">
        <f t="shared" si="35"/>
        <v>0</v>
      </c>
      <c r="H192">
        <f t="shared" si="35"/>
        <v>2.25</v>
      </c>
      <c r="I192">
        <f t="shared" si="35"/>
        <v>2.25</v>
      </c>
      <c r="J192">
        <f t="shared" si="35"/>
        <v>2.25</v>
      </c>
      <c r="K192">
        <f t="shared" si="35"/>
        <v>2.25</v>
      </c>
      <c r="L192">
        <f t="shared" si="35"/>
        <v>2.25</v>
      </c>
      <c r="M192">
        <f t="shared" si="28"/>
        <v>102.25</v>
      </c>
      <c r="P192">
        <f t="shared" si="29"/>
        <v>2.3624999999999998</v>
      </c>
      <c r="Q192">
        <v>0.72499999999999998</v>
      </c>
      <c r="R192">
        <f t="shared" si="30"/>
        <v>98.89453494149403</v>
      </c>
      <c r="S192">
        <f t="shared" si="31"/>
        <v>1.6312499999999999</v>
      </c>
      <c r="T192">
        <f t="shared" si="26"/>
        <v>100.52578494149402</v>
      </c>
      <c r="U192">
        <f t="shared" si="37"/>
        <v>0</v>
      </c>
      <c r="V192">
        <f t="shared" si="37"/>
        <v>0</v>
      </c>
      <c r="W192">
        <f t="shared" si="37"/>
        <v>0</v>
      </c>
      <c r="X192">
        <f t="shared" si="37"/>
        <v>0</v>
      </c>
      <c r="Y192">
        <f t="shared" si="37"/>
        <v>0.9932991642875868</v>
      </c>
      <c r="Z192">
        <f t="shared" si="37"/>
        <v>0.96930877217622513</v>
      </c>
      <c r="AA192">
        <f t="shared" si="37"/>
        <v>0.94589780158694814</v>
      </c>
      <c r="AB192">
        <f t="shared" si="37"/>
        <v>0.92305225819658276</v>
      </c>
      <c r="AC192">
        <f t="shared" si="37"/>
        <v>0.90075848567609917</v>
      </c>
      <c r="AD192">
        <f t="shared" si="37"/>
        <v>0.87900315752729852</v>
      </c>
    </row>
    <row r="193" spans="2:30">
      <c r="B193">
        <v>2.375</v>
      </c>
      <c r="D193">
        <f t="shared" si="36"/>
        <v>0</v>
      </c>
      <c r="E193">
        <f t="shared" si="35"/>
        <v>0</v>
      </c>
      <c r="F193">
        <f t="shared" si="35"/>
        <v>0</v>
      </c>
      <c r="G193">
        <f t="shared" si="35"/>
        <v>0</v>
      </c>
      <c r="H193">
        <f t="shared" si="35"/>
        <v>2.25</v>
      </c>
      <c r="I193">
        <f t="shared" si="35"/>
        <v>2.25</v>
      </c>
      <c r="J193">
        <f t="shared" si="35"/>
        <v>2.25</v>
      </c>
      <c r="K193">
        <f t="shared" si="35"/>
        <v>2.25</v>
      </c>
      <c r="L193">
        <f t="shared" si="35"/>
        <v>2.25</v>
      </c>
      <c r="M193">
        <f t="shared" si="28"/>
        <v>102.25</v>
      </c>
      <c r="P193">
        <f t="shared" si="29"/>
        <v>2.375</v>
      </c>
      <c r="Q193">
        <v>0.75</v>
      </c>
      <c r="R193">
        <f t="shared" si="30"/>
        <v>98.899746792550644</v>
      </c>
      <c r="S193">
        <f t="shared" si="31"/>
        <v>1.6875</v>
      </c>
      <c r="T193">
        <f t="shared" si="26"/>
        <v>100.58724679255064</v>
      </c>
      <c r="U193">
        <f t="shared" si="37"/>
        <v>0</v>
      </c>
      <c r="V193">
        <f t="shared" si="37"/>
        <v>0</v>
      </c>
      <c r="W193">
        <f t="shared" si="37"/>
        <v>0</v>
      </c>
      <c r="X193">
        <f t="shared" si="37"/>
        <v>0</v>
      </c>
      <c r="Y193">
        <f t="shared" si="37"/>
        <v>0.99390647121212994</v>
      </c>
      <c r="Z193">
        <f t="shared" si="37"/>
        <v>0.96990141128287866</v>
      </c>
      <c r="AA193">
        <f t="shared" si="37"/>
        <v>0.94647612713625628</v>
      </c>
      <c r="AB193">
        <f t="shared" si="37"/>
        <v>0.92361661589290689</v>
      </c>
      <c r="AC193">
        <f t="shared" si="37"/>
        <v>0.90130921287426868</v>
      </c>
      <c r="AD193">
        <f t="shared" si="37"/>
        <v>0.87954058343427033</v>
      </c>
    </row>
    <row r="194" spans="2:30">
      <c r="B194">
        <v>2.3875000000000002</v>
      </c>
      <c r="D194">
        <f t="shared" si="36"/>
        <v>0</v>
      </c>
      <c r="E194">
        <f t="shared" si="35"/>
        <v>0</v>
      </c>
      <c r="F194">
        <f t="shared" si="35"/>
        <v>0</v>
      </c>
      <c r="G194">
        <f t="shared" si="35"/>
        <v>0</v>
      </c>
      <c r="H194">
        <f t="shared" si="35"/>
        <v>2.25</v>
      </c>
      <c r="I194">
        <f t="shared" si="35"/>
        <v>2.25</v>
      </c>
      <c r="J194">
        <f t="shared" si="35"/>
        <v>2.25</v>
      </c>
      <c r="K194">
        <f t="shared" si="35"/>
        <v>2.25</v>
      </c>
      <c r="L194">
        <f t="shared" si="35"/>
        <v>2.25</v>
      </c>
      <c r="M194">
        <f t="shared" si="28"/>
        <v>102.25</v>
      </c>
      <c r="P194">
        <f t="shared" si="29"/>
        <v>2.3875000000000002</v>
      </c>
      <c r="Q194">
        <v>0.77500000000000002</v>
      </c>
      <c r="R194">
        <f t="shared" si="30"/>
        <v>98.904996221619086</v>
      </c>
      <c r="S194">
        <f t="shared" si="31"/>
        <v>1.7437500000000001</v>
      </c>
      <c r="T194">
        <f t="shared" si="26"/>
        <v>100.64874622161909</v>
      </c>
      <c r="U194">
        <f t="shared" si="37"/>
        <v>0</v>
      </c>
      <c r="V194">
        <f t="shared" si="37"/>
        <v>0</v>
      </c>
      <c r="W194">
        <f t="shared" si="37"/>
        <v>0</v>
      </c>
      <c r="X194">
        <f t="shared" si="37"/>
        <v>0</v>
      </c>
      <c r="Y194">
        <f t="shared" si="37"/>
        <v>0.99451414944645966</v>
      </c>
      <c r="Z194">
        <f t="shared" si="37"/>
        <v>0.9704944127313585</v>
      </c>
      <c r="AA194">
        <f t="shared" si="37"/>
        <v>0.94705480627602689</v>
      </c>
      <c r="AB194">
        <f t="shared" si="37"/>
        <v>0.92418131863969444</v>
      </c>
      <c r="AC194">
        <f t="shared" si="37"/>
        <v>0.90186027678916258</v>
      </c>
      <c r="AD194">
        <f t="shared" si="37"/>
        <v>0.88007833792550627</v>
      </c>
    </row>
    <row r="195" spans="2:30">
      <c r="B195">
        <v>2.4</v>
      </c>
      <c r="D195">
        <f t="shared" si="36"/>
        <v>0</v>
      </c>
      <c r="E195">
        <f t="shared" si="35"/>
        <v>0</v>
      </c>
      <c r="F195">
        <f t="shared" si="35"/>
        <v>0</v>
      </c>
      <c r="G195">
        <f t="shared" si="35"/>
        <v>0</v>
      </c>
      <c r="H195">
        <f t="shared" si="35"/>
        <v>2.25</v>
      </c>
      <c r="I195">
        <f t="shared" si="35"/>
        <v>2.25</v>
      </c>
      <c r="J195">
        <f t="shared" si="35"/>
        <v>2.25</v>
      </c>
      <c r="K195">
        <f t="shared" si="35"/>
        <v>2.25</v>
      </c>
      <c r="L195">
        <f t="shared" si="35"/>
        <v>2.25</v>
      </c>
      <c r="M195">
        <f t="shared" si="28"/>
        <v>102.25</v>
      </c>
      <c r="P195">
        <f t="shared" si="29"/>
        <v>2.4</v>
      </c>
      <c r="Q195">
        <v>0.8</v>
      </c>
      <c r="R195">
        <f t="shared" si="30"/>
        <v>98.910283251674713</v>
      </c>
      <c r="S195">
        <f t="shared" si="31"/>
        <v>1.8</v>
      </c>
      <c r="T195">
        <f t="shared" ref="T195:T258" si="38">SUMPRODUCT(U195:AD195,D195:M195)</f>
        <v>100.71028325167471</v>
      </c>
      <c r="U195">
        <f t="shared" ref="U195:AD210" si="39">IF((1/(1+$O$3/2)^((U$2-$P195)*2))&lt;=1,1/(1+$O$3/2)^((U$2-$P195)*2),0)</f>
        <v>0</v>
      </c>
      <c r="V195">
        <f t="shared" si="39"/>
        <v>0</v>
      </c>
      <c r="W195">
        <f t="shared" si="39"/>
        <v>0</v>
      </c>
      <c r="X195">
        <f t="shared" si="39"/>
        <v>0</v>
      </c>
      <c r="Y195">
        <f t="shared" si="39"/>
        <v>0.99512219921759615</v>
      </c>
      <c r="Z195">
        <f t="shared" si="39"/>
        <v>0.9710877767432019</v>
      </c>
      <c r="AA195">
        <f t="shared" si="39"/>
        <v>0.94763383922244637</v>
      </c>
      <c r="AB195">
        <f t="shared" si="39"/>
        <v>0.92474636664791043</v>
      </c>
      <c r="AC195">
        <f t="shared" si="39"/>
        <v>0.90241167762665087</v>
      </c>
      <c r="AD195">
        <f t="shared" si="39"/>
        <v>0.88061642120190364</v>
      </c>
    </row>
    <row r="196" spans="2:30">
      <c r="B196">
        <v>2.4125000000000001</v>
      </c>
      <c r="D196">
        <f t="shared" si="36"/>
        <v>0</v>
      </c>
      <c r="E196">
        <f t="shared" si="35"/>
        <v>0</v>
      </c>
      <c r="F196">
        <f t="shared" si="35"/>
        <v>0</v>
      </c>
      <c r="G196">
        <f t="shared" si="35"/>
        <v>0</v>
      </c>
      <c r="H196">
        <f t="shared" si="35"/>
        <v>2.25</v>
      </c>
      <c r="I196">
        <f t="shared" si="35"/>
        <v>2.25</v>
      </c>
      <c r="J196">
        <f t="shared" si="35"/>
        <v>2.25</v>
      </c>
      <c r="K196">
        <f t="shared" si="35"/>
        <v>2.25</v>
      </c>
      <c r="L196">
        <f t="shared" si="35"/>
        <v>2.25</v>
      </c>
      <c r="M196">
        <f t="shared" ref="M196:M259" si="40">IF($B196&lt;=M$2,100*$D$1/2,0)+100</f>
        <v>102.25</v>
      </c>
      <c r="P196">
        <f t="shared" ref="P196:P259" si="41">B196</f>
        <v>2.4125000000000001</v>
      </c>
      <c r="Q196">
        <v>0.82499999999999996</v>
      </c>
      <c r="R196">
        <f t="shared" ref="R196:R259" si="42">T196-S196</f>
        <v>98.915607905706878</v>
      </c>
      <c r="S196">
        <f t="shared" si="31"/>
        <v>1.85625</v>
      </c>
      <c r="T196">
        <f t="shared" si="38"/>
        <v>100.77185790570688</v>
      </c>
      <c r="U196">
        <f t="shared" si="39"/>
        <v>0</v>
      </c>
      <c r="V196">
        <f t="shared" si="39"/>
        <v>0</v>
      </c>
      <c r="W196">
        <f t="shared" si="39"/>
        <v>0</v>
      </c>
      <c r="X196">
        <f t="shared" si="39"/>
        <v>0</v>
      </c>
      <c r="Y196">
        <f t="shared" si="39"/>
        <v>0.99573062075269825</v>
      </c>
      <c r="Z196">
        <f t="shared" si="39"/>
        <v>0.97168150354008131</v>
      </c>
      <c r="AA196">
        <f t="shared" si="39"/>
        <v>0.94821322619183335</v>
      </c>
      <c r="AB196">
        <f t="shared" si="39"/>
        <v>0.92531176012864924</v>
      </c>
      <c r="AC196">
        <f t="shared" si="39"/>
        <v>0.90296341559272919</v>
      </c>
      <c r="AD196">
        <f t="shared" si="39"/>
        <v>0.88115483346448309</v>
      </c>
    </row>
    <row r="197" spans="2:30">
      <c r="B197">
        <v>2.4249999999999998</v>
      </c>
      <c r="D197">
        <f t="shared" si="36"/>
        <v>0</v>
      </c>
      <c r="E197">
        <f t="shared" si="35"/>
        <v>0</v>
      </c>
      <c r="F197">
        <f t="shared" si="35"/>
        <v>0</v>
      </c>
      <c r="G197">
        <f t="shared" si="35"/>
        <v>0</v>
      </c>
      <c r="H197">
        <f t="shared" si="35"/>
        <v>2.25</v>
      </c>
      <c r="I197">
        <f t="shared" si="35"/>
        <v>2.25</v>
      </c>
      <c r="J197">
        <f t="shared" si="35"/>
        <v>2.25</v>
      </c>
      <c r="K197">
        <f t="shared" si="35"/>
        <v>2.25</v>
      </c>
      <c r="L197">
        <f t="shared" si="35"/>
        <v>2.25</v>
      </c>
      <c r="M197">
        <f t="shared" si="40"/>
        <v>102.25</v>
      </c>
      <c r="P197">
        <f t="shared" si="41"/>
        <v>2.4249999999999998</v>
      </c>
      <c r="Q197">
        <v>0.85</v>
      </c>
      <c r="R197">
        <f t="shared" si="42"/>
        <v>98.920970206719048</v>
      </c>
      <c r="S197">
        <f t="shared" ref="S197:S260" si="43">(100*$D$1/2)*Q197</f>
        <v>1.9124999999999999</v>
      </c>
      <c r="T197">
        <f t="shared" si="38"/>
        <v>100.83347020671904</v>
      </c>
      <c r="U197">
        <f t="shared" si="39"/>
        <v>0</v>
      </c>
      <c r="V197">
        <f t="shared" si="39"/>
        <v>0</v>
      </c>
      <c r="W197">
        <f t="shared" si="39"/>
        <v>0</v>
      </c>
      <c r="X197">
        <f t="shared" si="39"/>
        <v>0</v>
      </c>
      <c r="Y197">
        <f t="shared" si="39"/>
        <v>0.99633941427906403</v>
      </c>
      <c r="Z197">
        <f t="shared" si="39"/>
        <v>0.97227559334380487</v>
      </c>
      <c r="AA197">
        <f t="shared" si="39"/>
        <v>0.94879296740063901</v>
      </c>
      <c r="AB197">
        <f t="shared" si="39"/>
        <v>0.9258774992931339</v>
      </c>
      <c r="AC197">
        <f t="shared" si="39"/>
        <v>0.90351549089351935</v>
      </c>
      <c r="AD197">
        <f t="shared" si="39"/>
        <v>0.88169357491438816</v>
      </c>
    </row>
    <row r="198" spans="2:30">
      <c r="B198">
        <v>2.4375</v>
      </c>
      <c r="D198">
        <f t="shared" si="36"/>
        <v>0</v>
      </c>
      <c r="E198">
        <f t="shared" si="35"/>
        <v>0</v>
      </c>
      <c r="F198">
        <f t="shared" si="35"/>
        <v>0</v>
      </c>
      <c r="G198">
        <f t="shared" si="35"/>
        <v>0</v>
      </c>
      <c r="H198">
        <f t="shared" si="35"/>
        <v>2.25</v>
      </c>
      <c r="I198">
        <f t="shared" si="35"/>
        <v>2.25</v>
      </c>
      <c r="J198">
        <f t="shared" si="35"/>
        <v>2.25</v>
      </c>
      <c r="K198">
        <f t="shared" si="35"/>
        <v>2.25</v>
      </c>
      <c r="L198">
        <f t="shared" si="35"/>
        <v>2.25</v>
      </c>
      <c r="M198">
        <f t="shared" si="40"/>
        <v>102.25</v>
      </c>
      <c r="P198">
        <f t="shared" si="41"/>
        <v>2.4375</v>
      </c>
      <c r="Q198">
        <v>0.875</v>
      </c>
      <c r="R198">
        <f t="shared" si="42"/>
        <v>98.926370177728728</v>
      </c>
      <c r="S198">
        <f t="shared" si="43"/>
        <v>1.96875</v>
      </c>
      <c r="T198">
        <f t="shared" si="38"/>
        <v>100.89512017772873</v>
      </c>
      <c r="U198">
        <f t="shared" si="39"/>
        <v>0</v>
      </c>
      <c r="V198">
        <f t="shared" si="39"/>
        <v>0</v>
      </c>
      <c r="W198">
        <f t="shared" si="39"/>
        <v>0</v>
      </c>
      <c r="X198">
        <f t="shared" si="39"/>
        <v>0</v>
      </c>
      <c r="Y198">
        <f t="shared" si="39"/>
        <v>0.99694858002413034</v>
      </c>
      <c r="Z198">
        <f t="shared" si="39"/>
        <v>0.97287004637631658</v>
      </c>
      <c r="AA198">
        <f t="shared" si="39"/>
        <v>0.94937306306544678</v>
      </c>
      <c r="AB198">
        <f t="shared" si="39"/>
        <v>0.9264435843527169</v>
      </c>
      <c r="AC198">
        <f t="shared" si="39"/>
        <v>0.90406790373526902</v>
      </c>
      <c r="AD198">
        <f t="shared" si="39"/>
        <v>0.88223264575288507</v>
      </c>
    </row>
    <row r="199" spans="2:30">
      <c r="B199">
        <v>2.4500000000000002</v>
      </c>
      <c r="D199">
        <f t="shared" si="36"/>
        <v>0</v>
      </c>
      <c r="E199">
        <f t="shared" si="35"/>
        <v>0</v>
      </c>
      <c r="F199">
        <f t="shared" si="35"/>
        <v>0</v>
      </c>
      <c r="G199">
        <f t="shared" si="35"/>
        <v>0</v>
      </c>
      <c r="H199">
        <f t="shared" si="35"/>
        <v>2.25</v>
      </c>
      <c r="I199">
        <f t="shared" si="35"/>
        <v>2.25</v>
      </c>
      <c r="J199">
        <f t="shared" si="35"/>
        <v>2.25</v>
      </c>
      <c r="K199">
        <f t="shared" si="35"/>
        <v>2.25</v>
      </c>
      <c r="L199">
        <f t="shared" si="35"/>
        <v>2.25</v>
      </c>
      <c r="M199">
        <f t="shared" si="40"/>
        <v>102.25</v>
      </c>
      <c r="P199">
        <f t="shared" si="41"/>
        <v>2.4500000000000002</v>
      </c>
      <c r="Q199">
        <v>0.9</v>
      </c>
      <c r="R199">
        <f t="shared" si="42"/>
        <v>98.93180784176748</v>
      </c>
      <c r="S199">
        <f t="shared" si="43"/>
        <v>2.0249999999999999</v>
      </c>
      <c r="T199">
        <f t="shared" si="38"/>
        <v>100.95680784176749</v>
      </c>
      <c r="U199">
        <f t="shared" si="39"/>
        <v>0</v>
      </c>
      <c r="V199">
        <f t="shared" si="39"/>
        <v>0</v>
      </c>
      <c r="W199">
        <f t="shared" si="39"/>
        <v>0</v>
      </c>
      <c r="X199">
        <f t="shared" si="39"/>
        <v>0</v>
      </c>
      <c r="Y199">
        <f t="shared" si="39"/>
        <v>0.99755811821547324</v>
      </c>
      <c r="Z199">
        <f t="shared" si="39"/>
        <v>0.9734648628596958</v>
      </c>
      <c r="AA199">
        <f t="shared" si="39"/>
        <v>0.94995351340297218</v>
      </c>
      <c r="AB199">
        <f t="shared" si="39"/>
        <v>0.92701001551887985</v>
      </c>
      <c r="AC199">
        <f t="shared" si="39"/>
        <v>0.90462065432435201</v>
      </c>
      <c r="AD199">
        <f t="shared" si="39"/>
        <v>0.88277204618136329</v>
      </c>
    </row>
    <row r="200" spans="2:30">
      <c r="B200">
        <v>2.4624999999999999</v>
      </c>
      <c r="D200">
        <f t="shared" si="36"/>
        <v>0</v>
      </c>
      <c r="E200">
        <f t="shared" si="35"/>
        <v>0</v>
      </c>
      <c r="F200">
        <f t="shared" si="35"/>
        <v>0</v>
      </c>
      <c r="G200">
        <f t="shared" si="35"/>
        <v>0</v>
      </c>
      <c r="H200">
        <f t="shared" si="35"/>
        <v>2.25</v>
      </c>
      <c r="I200">
        <f t="shared" si="35"/>
        <v>2.25</v>
      </c>
      <c r="J200">
        <f t="shared" si="35"/>
        <v>2.25</v>
      </c>
      <c r="K200">
        <f t="shared" si="35"/>
        <v>2.25</v>
      </c>
      <c r="L200">
        <f t="shared" si="35"/>
        <v>2.25</v>
      </c>
      <c r="M200">
        <f t="shared" si="40"/>
        <v>102.25</v>
      </c>
      <c r="P200">
        <f t="shared" si="41"/>
        <v>2.4624999999999999</v>
      </c>
      <c r="Q200">
        <v>0.92500000000000004</v>
      </c>
      <c r="R200">
        <f t="shared" si="42"/>
        <v>98.937283221880989</v>
      </c>
      <c r="S200">
        <f t="shared" si="43"/>
        <v>2.0812500000000003</v>
      </c>
      <c r="T200">
        <f t="shared" si="38"/>
        <v>101.01853322188099</v>
      </c>
      <c r="U200">
        <f t="shared" si="39"/>
        <v>0</v>
      </c>
      <c r="V200">
        <f t="shared" si="39"/>
        <v>0</v>
      </c>
      <c r="W200">
        <f t="shared" si="39"/>
        <v>0</v>
      </c>
      <c r="X200">
        <f t="shared" si="39"/>
        <v>0</v>
      </c>
      <c r="Y200">
        <f t="shared" si="39"/>
        <v>0.99816802908080771</v>
      </c>
      <c r="Z200">
        <f t="shared" si="39"/>
        <v>0.97406004301615767</v>
      </c>
      <c r="AA200">
        <f t="shared" si="39"/>
        <v>0.95053431863006366</v>
      </c>
      <c r="AB200">
        <f t="shared" si="39"/>
        <v>0.92757679300323359</v>
      </c>
      <c r="AC200">
        <f t="shared" si="39"/>
        <v>0.90517374286726848</v>
      </c>
      <c r="AD200">
        <f t="shared" si="39"/>
        <v>0.8833117764013354</v>
      </c>
    </row>
    <row r="201" spans="2:30">
      <c r="B201">
        <v>2.4750000000000001</v>
      </c>
      <c r="D201">
        <f t="shared" si="36"/>
        <v>0</v>
      </c>
      <c r="E201">
        <f t="shared" si="35"/>
        <v>0</v>
      </c>
      <c r="F201">
        <f t="shared" si="35"/>
        <v>0</v>
      </c>
      <c r="G201">
        <f t="shared" si="35"/>
        <v>0</v>
      </c>
      <c r="H201">
        <f t="shared" si="35"/>
        <v>2.25</v>
      </c>
      <c r="I201">
        <f t="shared" si="35"/>
        <v>2.25</v>
      </c>
      <c r="J201">
        <f t="shared" si="35"/>
        <v>2.25</v>
      </c>
      <c r="K201">
        <f t="shared" si="35"/>
        <v>2.25</v>
      </c>
      <c r="L201">
        <f t="shared" si="35"/>
        <v>2.25</v>
      </c>
      <c r="M201">
        <f t="shared" si="40"/>
        <v>102.25</v>
      </c>
      <c r="P201">
        <f t="shared" si="41"/>
        <v>2.4750000000000001</v>
      </c>
      <c r="Q201">
        <v>0.95</v>
      </c>
      <c r="R201">
        <f t="shared" si="42"/>
        <v>98.942796341129011</v>
      </c>
      <c r="S201">
        <f t="shared" si="43"/>
        <v>2.1374999999999997</v>
      </c>
      <c r="T201">
        <f t="shared" si="38"/>
        <v>101.08029634112901</v>
      </c>
      <c r="U201">
        <f t="shared" si="39"/>
        <v>0</v>
      </c>
      <c r="V201">
        <f t="shared" si="39"/>
        <v>0</v>
      </c>
      <c r="W201">
        <f t="shared" si="39"/>
        <v>0</v>
      </c>
      <c r="X201">
        <f t="shared" si="39"/>
        <v>0</v>
      </c>
      <c r="Y201">
        <f t="shared" si="39"/>
        <v>0.9987783128479879</v>
      </c>
      <c r="Z201">
        <f t="shared" si="39"/>
        <v>0.97465558706805366</v>
      </c>
      <c r="AA201">
        <f t="shared" si="39"/>
        <v>0.95111547896370197</v>
      </c>
      <c r="AB201">
        <f t="shared" si="39"/>
        <v>0.92814391701751819</v>
      </c>
      <c r="AC201">
        <f t="shared" si="39"/>
        <v>0.9057271695706447</v>
      </c>
      <c r="AD201">
        <f t="shared" si="39"/>
        <v>0.88385183661443734</v>
      </c>
    </row>
    <row r="202" spans="2:30">
      <c r="B202">
        <v>2.4874999999999998</v>
      </c>
      <c r="D202">
        <f t="shared" si="36"/>
        <v>0</v>
      </c>
      <c r="E202">
        <f t="shared" si="35"/>
        <v>0</v>
      </c>
      <c r="F202">
        <f t="shared" si="35"/>
        <v>0</v>
      </c>
      <c r="G202">
        <f t="shared" si="35"/>
        <v>0</v>
      </c>
      <c r="H202">
        <f t="shared" si="35"/>
        <v>2.25</v>
      </c>
      <c r="I202">
        <f t="shared" si="35"/>
        <v>2.25</v>
      </c>
      <c r="J202">
        <f t="shared" si="35"/>
        <v>2.25</v>
      </c>
      <c r="K202">
        <f t="shared" si="35"/>
        <v>2.25</v>
      </c>
      <c r="L202">
        <f t="shared" si="35"/>
        <v>2.25</v>
      </c>
      <c r="M202">
        <f t="shared" si="40"/>
        <v>102.25</v>
      </c>
      <c r="P202">
        <f t="shared" si="41"/>
        <v>2.4874999999999998</v>
      </c>
      <c r="Q202">
        <v>0.97499999999999998</v>
      </c>
      <c r="R202">
        <f t="shared" si="42"/>
        <v>98.948347222585383</v>
      </c>
      <c r="S202">
        <f t="shared" si="43"/>
        <v>2.1937500000000001</v>
      </c>
      <c r="T202">
        <f t="shared" si="38"/>
        <v>101.14209722258538</v>
      </c>
      <c r="U202">
        <f t="shared" si="39"/>
        <v>0</v>
      </c>
      <c r="V202">
        <f t="shared" si="39"/>
        <v>0</v>
      </c>
      <c r="W202">
        <f t="shared" si="39"/>
        <v>0</v>
      </c>
      <c r="X202">
        <f t="shared" si="39"/>
        <v>0</v>
      </c>
      <c r="Y202">
        <f t="shared" si="39"/>
        <v>0.99938896974500779</v>
      </c>
      <c r="Z202">
        <f t="shared" si="39"/>
        <v>0.97525149523787025</v>
      </c>
      <c r="AA202">
        <f t="shared" si="39"/>
        <v>0.95169699462100066</v>
      </c>
      <c r="AB202">
        <f t="shared" si="39"/>
        <v>0.92871138777360385</v>
      </c>
      <c r="AC202">
        <f t="shared" si="39"/>
        <v>0.90628093464123316</v>
      </c>
      <c r="AD202">
        <f t="shared" si="39"/>
        <v>0.88439222702242815</v>
      </c>
    </row>
    <row r="203" spans="2:30">
      <c r="B203">
        <v>2.5</v>
      </c>
      <c r="D203">
        <f t="shared" si="36"/>
        <v>0</v>
      </c>
      <c r="E203">
        <f t="shared" si="35"/>
        <v>0</v>
      </c>
      <c r="F203">
        <f t="shared" si="35"/>
        <v>0</v>
      </c>
      <c r="G203">
        <f t="shared" si="35"/>
        <v>0</v>
      </c>
      <c r="H203">
        <f t="shared" si="35"/>
        <v>2.25</v>
      </c>
      <c r="I203">
        <f t="shared" si="35"/>
        <v>2.25</v>
      </c>
      <c r="J203">
        <f t="shared" si="35"/>
        <v>2.25</v>
      </c>
      <c r="K203">
        <f t="shared" si="35"/>
        <v>2.25</v>
      </c>
      <c r="L203">
        <f t="shared" si="35"/>
        <v>2.25</v>
      </c>
      <c r="M203">
        <f t="shared" si="40"/>
        <v>102.25</v>
      </c>
      <c r="P203">
        <f t="shared" si="41"/>
        <v>2.5</v>
      </c>
      <c r="Q203">
        <v>1</v>
      </c>
      <c r="R203">
        <f t="shared" si="42"/>
        <v>98.953935889338084</v>
      </c>
      <c r="S203">
        <f t="shared" si="43"/>
        <v>2.25</v>
      </c>
      <c r="T203">
        <f t="shared" si="38"/>
        <v>101.20393588933808</v>
      </c>
      <c r="U203">
        <f t="shared" si="39"/>
        <v>0</v>
      </c>
      <c r="V203">
        <f t="shared" si="39"/>
        <v>0</v>
      </c>
      <c r="W203">
        <f t="shared" si="39"/>
        <v>0</v>
      </c>
      <c r="X203">
        <f t="shared" si="39"/>
        <v>0</v>
      </c>
      <c r="Y203">
        <f t="shared" si="39"/>
        <v>1</v>
      </c>
      <c r="Z203">
        <f t="shared" si="39"/>
        <v>0.97584776774823123</v>
      </c>
      <c r="AA203">
        <f t="shared" si="39"/>
        <v>0.95227886581920584</v>
      </c>
      <c r="AB203">
        <f t="shared" si="39"/>
        <v>0.92927920548348952</v>
      </c>
      <c r="AC203">
        <f t="shared" si="39"/>
        <v>0.90683503828591316</v>
      </c>
      <c r="AD203">
        <f t="shared" si="39"/>
        <v>0.88493294782719012</v>
      </c>
    </row>
    <row r="204" spans="2:30">
      <c r="B204">
        <v>2.5125000000000002</v>
      </c>
      <c r="D204">
        <f t="shared" si="36"/>
        <v>0</v>
      </c>
      <c r="E204">
        <f t="shared" si="35"/>
        <v>0</v>
      </c>
      <c r="F204">
        <f t="shared" si="35"/>
        <v>0</v>
      </c>
      <c r="G204">
        <f t="shared" si="35"/>
        <v>0</v>
      </c>
      <c r="H204">
        <f t="shared" si="35"/>
        <v>0</v>
      </c>
      <c r="I204">
        <f t="shared" si="35"/>
        <v>2.25</v>
      </c>
      <c r="J204">
        <f t="shared" si="35"/>
        <v>2.25</v>
      </c>
      <c r="K204">
        <f t="shared" si="35"/>
        <v>2.25</v>
      </c>
      <c r="L204">
        <f t="shared" si="35"/>
        <v>2.25</v>
      </c>
      <c r="M204">
        <f t="shared" si="40"/>
        <v>102.25</v>
      </c>
      <c r="P204">
        <f t="shared" si="41"/>
        <v>2.5125000000000002</v>
      </c>
      <c r="Q204">
        <v>2.5000000000000001E-2</v>
      </c>
      <c r="R204">
        <f t="shared" si="42"/>
        <v>98.958186705846344</v>
      </c>
      <c r="S204">
        <f t="shared" si="43"/>
        <v>5.6250000000000001E-2</v>
      </c>
      <c r="T204">
        <f t="shared" si="38"/>
        <v>99.01443670584635</v>
      </c>
      <c r="U204">
        <f t="shared" si="39"/>
        <v>0</v>
      </c>
      <c r="V204">
        <f t="shared" si="39"/>
        <v>0</v>
      </c>
      <c r="W204">
        <f t="shared" si="39"/>
        <v>0</v>
      </c>
      <c r="X204">
        <f t="shared" si="39"/>
        <v>0</v>
      </c>
      <c r="Y204">
        <f t="shared" si="39"/>
        <v>0</v>
      </c>
      <c r="Z204">
        <f t="shared" si="39"/>
        <v>0.97644440482189543</v>
      </c>
      <c r="AA204">
        <f t="shared" si="39"/>
        <v>0.95286109277569686</v>
      </c>
      <c r="AB204">
        <f t="shared" si="39"/>
        <v>0.92984737035930409</v>
      </c>
      <c r="AC204">
        <f t="shared" si="39"/>
        <v>0.90738948071168968</v>
      </c>
      <c r="AD204">
        <f t="shared" si="39"/>
        <v>0.885473999230729</v>
      </c>
    </row>
    <row r="205" spans="2:30">
      <c r="B205">
        <v>2.5249999999999999</v>
      </c>
      <c r="D205">
        <f t="shared" si="36"/>
        <v>0</v>
      </c>
      <c r="E205">
        <f t="shared" si="36"/>
        <v>0</v>
      </c>
      <c r="F205">
        <f t="shared" si="36"/>
        <v>0</v>
      </c>
      <c r="G205">
        <f t="shared" si="36"/>
        <v>0</v>
      </c>
      <c r="H205">
        <f t="shared" si="36"/>
        <v>0</v>
      </c>
      <c r="I205">
        <f t="shared" si="36"/>
        <v>2.25</v>
      </c>
      <c r="J205">
        <f t="shared" si="36"/>
        <v>2.25</v>
      </c>
      <c r="K205">
        <f t="shared" si="36"/>
        <v>2.25</v>
      </c>
      <c r="L205">
        <f t="shared" si="36"/>
        <v>2.25</v>
      </c>
      <c r="M205">
        <f t="shared" si="40"/>
        <v>102.25</v>
      </c>
      <c r="P205">
        <f t="shared" si="41"/>
        <v>2.5249999999999999</v>
      </c>
      <c r="Q205">
        <v>0.05</v>
      </c>
      <c r="R205">
        <f t="shared" si="42"/>
        <v>98.962474512786244</v>
      </c>
      <c r="S205">
        <f t="shared" si="43"/>
        <v>0.1125</v>
      </c>
      <c r="T205">
        <f t="shared" si="38"/>
        <v>99.074974512786241</v>
      </c>
      <c r="U205">
        <f t="shared" si="39"/>
        <v>0</v>
      </c>
      <c r="V205">
        <f t="shared" si="39"/>
        <v>0</v>
      </c>
      <c r="W205">
        <f t="shared" si="39"/>
        <v>0</v>
      </c>
      <c r="X205">
        <f t="shared" si="39"/>
        <v>0</v>
      </c>
      <c r="Y205">
        <f t="shared" si="39"/>
        <v>0</v>
      </c>
      <c r="Z205">
        <f t="shared" si="39"/>
        <v>0.9770414066817581</v>
      </c>
      <c r="AA205">
        <f t="shared" si="39"/>
        <v>0.95344367570798538</v>
      </c>
      <c r="AB205">
        <f t="shared" si="39"/>
        <v>0.9304158826133061</v>
      </c>
      <c r="AC205">
        <f t="shared" si="39"/>
        <v>0.90794426212569501</v>
      </c>
      <c r="AD205">
        <f t="shared" si="39"/>
        <v>0.88601538143517433</v>
      </c>
    </row>
    <row r="206" spans="2:30">
      <c r="B206">
        <v>2.5375000000000001</v>
      </c>
      <c r="D206">
        <f t="shared" si="36"/>
        <v>0</v>
      </c>
      <c r="E206">
        <f t="shared" si="36"/>
        <v>0</v>
      </c>
      <c r="F206">
        <f t="shared" si="36"/>
        <v>0</v>
      </c>
      <c r="G206">
        <f t="shared" si="36"/>
        <v>0</v>
      </c>
      <c r="H206">
        <f t="shared" si="36"/>
        <v>0</v>
      </c>
      <c r="I206">
        <f t="shared" si="36"/>
        <v>2.25</v>
      </c>
      <c r="J206">
        <f t="shared" si="36"/>
        <v>2.25</v>
      </c>
      <c r="K206">
        <f t="shared" si="36"/>
        <v>2.25</v>
      </c>
      <c r="L206">
        <f t="shared" si="36"/>
        <v>2.25</v>
      </c>
      <c r="M206">
        <f t="shared" si="40"/>
        <v>102.25</v>
      </c>
      <c r="P206">
        <f t="shared" si="41"/>
        <v>2.5375000000000001</v>
      </c>
      <c r="Q206">
        <v>7.4999999999999997E-2</v>
      </c>
      <c r="R206">
        <f t="shared" si="42"/>
        <v>98.96679933277386</v>
      </c>
      <c r="S206">
        <f t="shared" si="43"/>
        <v>0.16874999999999998</v>
      </c>
      <c r="T206">
        <f t="shared" si="38"/>
        <v>99.135549332773863</v>
      </c>
      <c r="U206">
        <f t="shared" si="39"/>
        <v>0</v>
      </c>
      <c r="V206">
        <f t="shared" si="39"/>
        <v>0</v>
      </c>
      <c r="W206">
        <f t="shared" si="39"/>
        <v>0</v>
      </c>
      <c r="X206">
        <f t="shared" si="39"/>
        <v>0</v>
      </c>
      <c r="Y206">
        <f t="shared" si="39"/>
        <v>0</v>
      </c>
      <c r="Z206">
        <f t="shared" si="39"/>
        <v>0.97763877355085138</v>
      </c>
      <c r="AA206">
        <f t="shared" si="39"/>
        <v>0.95402661483371676</v>
      </c>
      <c r="AB206">
        <f t="shared" si="39"/>
        <v>0.9309847424578841</v>
      </c>
      <c r="AC206">
        <f t="shared" si="39"/>
        <v>0.90849938273518804</v>
      </c>
      <c r="AD206">
        <f t="shared" si="39"/>
        <v>0.88655709464277921</v>
      </c>
    </row>
    <row r="207" spans="2:30">
      <c r="B207">
        <v>2.5499999999999998</v>
      </c>
      <c r="D207">
        <f t="shared" si="36"/>
        <v>0</v>
      </c>
      <c r="E207">
        <f t="shared" si="36"/>
        <v>0</v>
      </c>
      <c r="F207">
        <f t="shared" si="36"/>
        <v>0</v>
      </c>
      <c r="G207">
        <f t="shared" si="36"/>
        <v>0</v>
      </c>
      <c r="H207">
        <f t="shared" si="36"/>
        <v>0</v>
      </c>
      <c r="I207">
        <f t="shared" si="36"/>
        <v>2.25</v>
      </c>
      <c r="J207">
        <f t="shared" si="36"/>
        <v>2.25</v>
      </c>
      <c r="K207">
        <f t="shared" si="36"/>
        <v>2.25</v>
      </c>
      <c r="L207">
        <f t="shared" si="36"/>
        <v>2.25</v>
      </c>
      <c r="M207">
        <f t="shared" si="40"/>
        <v>102.25</v>
      </c>
      <c r="P207">
        <f t="shared" si="41"/>
        <v>2.5499999999999998</v>
      </c>
      <c r="Q207">
        <v>0.1</v>
      </c>
      <c r="R207">
        <f t="shared" si="42"/>
        <v>98.971161188439098</v>
      </c>
      <c r="S207">
        <f t="shared" si="43"/>
        <v>0.22500000000000001</v>
      </c>
      <c r="T207">
        <f t="shared" si="38"/>
        <v>99.196161188439092</v>
      </c>
      <c r="U207">
        <f t="shared" si="39"/>
        <v>0</v>
      </c>
      <c r="V207">
        <f t="shared" si="39"/>
        <v>0</v>
      </c>
      <c r="W207">
        <f t="shared" si="39"/>
        <v>0</v>
      </c>
      <c r="X207">
        <f t="shared" si="39"/>
        <v>0</v>
      </c>
      <c r="Y207">
        <f t="shared" si="39"/>
        <v>0</v>
      </c>
      <c r="Z207">
        <f t="shared" si="39"/>
        <v>0.97823650565234266</v>
      </c>
      <c r="AA207">
        <f t="shared" si="39"/>
        <v>0.95460991037066867</v>
      </c>
      <c r="AB207">
        <f t="shared" si="39"/>
        <v>0.93155395010555608</v>
      </c>
      <c r="AC207">
        <f t="shared" si="39"/>
        <v>0.90905484274755399</v>
      </c>
      <c r="AD207">
        <f t="shared" si="39"/>
        <v>0.88709913905591997</v>
      </c>
    </row>
    <row r="208" spans="2:30">
      <c r="B208">
        <v>2.5625</v>
      </c>
      <c r="D208">
        <f t="shared" si="36"/>
        <v>0</v>
      </c>
      <c r="E208">
        <f t="shared" si="36"/>
        <v>0</v>
      </c>
      <c r="F208">
        <f t="shared" si="36"/>
        <v>0</v>
      </c>
      <c r="G208">
        <f t="shared" si="36"/>
        <v>0</v>
      </c>
      <c r="H208">
        <f t="shared" si="36"/>
        <v>0</v>
      </c>
      <c r="I208">
        <f t="shared" si="36"/>
        <v>2.25</v>
      </c>
      <c r="J208">
        <f t="shared" si="36"/>
        <v>2.25</v>
      </c>
      <c r="K208">
        <f t="shared" si="36"/>
        <v>2.25</v>
      </c>
      <c r="L208">
        <f t="shared" si="36"/>
        <v>2.25</v>
      </c>
      <c r="M208">
        <f t="shared" si="40"/>
        <v>102.25</v>
      </c>
      <c r="P208">
        <f t="shared" si="41"/>
        <v>2.5625</v>
      </c>
      <c r="Q208">
        <v>0.125</v>
      </c>
      <c r="R208">
        <f t="shared" si="42"/>
        <v>98.975560102425703</v>
      </c>
      <c r="S208">
        <f t="shared" si="43"/>
        <v>0.28125</v>
      </c>
      <c r="T208">
        <f t="shared" si="38"/>
        <v>99.256810102425703</v>
      </c>
      <c r="U208">
        <f t="shared" si="39"/>
        <v>0</v>
      </c>
      <c r="V208">
        <f t="shared" si="39"/>
        <v>0</v>
      </c>
      <c r="W208">
        <f t="shared" si="39"/>
        <v>0</v>
      </c>
      <c r="X208">
        <f t="shared" si="39"/>
        <v>0</v>
      </c>
      <c r="Y208">
        <f t="shared" si="39"/>
        <v>0</v>
      </c>
      <c r="Z208">
        <f t="shared" si="39"/>
        <v>0.97883460320953708</v>
      </c>
      <c r="AA208">
        <f t="shared" si="39"/>
        <v>0.95519356253675247</v>
      </c>
      <c r="AB208">
        <f t="shared" si="39"/>
        <v>0.93212350576897052</v>
      </c>
      <c r="AC208">
        <f t="shared" si="39"/>
        <v>0.90961064237030542</v>
      </c>
      <c r="AD208">
        <f t="shared" si="39"/>
        <v>0.88764151487709708</v>
      </c>
    </row>
    <row r="209" spans="2:30">
      <c r="B209">
        <v>2.5750000000000002</v>
      </c>
      <c r="D209">
        <f t="shared" si="36"/>
        <v>0</v>
      </c>
      <c r="E209">
        <f t="shared" si="36"/>
        <v>0</v>
      </c>
      <c r="F209">
        <f t="shared" si="36"/>
        <v>0</v>
      </c>
      <c r="G209">
        <f t="shared" si="36"/>
        <v>0</v>
      </c>
      <c r="H209">
        <f t="shared" si="36"/>
        <v>0</v>
      </c>
      <c r="I209">
        <f t="shared" si="36"/>
        <v>2.25</v>
      </c>
      <c r="J209">
        <f t="shared" si="36"/>
        <v>2.25</v>
      </c>
      <c r="K209">
        <f t="shared" si="36"/>
        <v>2.25</v>
      </c>
      <c r="L209">
        <f t="shared" si="36"/>
        <v>2.25</v>
      </c>
      <c r="M209">
        <f t="shared" si="40"/>
        <v>102.25</v>
      </c>
      <c r="P209">
        <f t="shared" si="41"/>
        <v>2.5750000000000002</v>
      </c>
      <c r="Q209">
        <v>0.15</v>
      </c>
      <c r="R209">
        <f t="shared" si="42"/>
        <v>98.979996097391265</v>
      </c>
      <c r="S209">
        <f t="shared" si="43"/>
        <v>0.33749999999999997</v>
      </c>
      <c r="T209">
        <f t="shared" si="38"/>
        <v>99.31749609739127</v>
      </c>
      <c r="U209">
        <f t="shared" si="39"/>
        <v>0</v>
      </c>
      <c r="V209">
        <f t="shared" si="39"/>
        <v>0</v>
      </c>
      <c r="W209">
        <f t="shared" si="39"/>
        <v>0</v>
      </c>
      <c r="X209">
        <f t="shared" si="39"/>
        <v>0</v>
      </c>
      <c r="Y209">
        <f t="shared" si="39"/>
        <v>0</v>
      </c>
      <c r="Z209">
        <f t="shared" si="39"/>
        <v>0.97943306644587558</v>
      </c>
      <c r="AA209">
        <f t="shared" si="39"/>
        <v>0.95577757155001264</v>
      </c>
      <c r="AB209">
        <f t="shared" si="39"/>
        <v>0.93269340966090508</v>
      </c>
      <c r="AC209">
        <f t="shared" si="39"/>
        <v>0.91016678181108079</v>
      </c>
      <c r="AD209">
        <f t="shared" si="39"/>
        <v>0.88818422230893457</v>
      </c>
    </row>
    <row r="210" spans="2:30">
      <c r="B210">
        <v>2.5874999999999999</v>
      </c>
      <c r="D210">
        <f t="shared" si="36"/>
        <v>0</v>
      </c>
      <c r="E210">
        <f t="shared" si="36"/>
        <v>0</v>
      </c>
      <c r="F210">
        <f t="shared" si="36"/>
        <v>0</v>
      </c>
      <c r="G210">
        <f t="shared" si="36"/>
        <v>0</v>
      </c>
      <c r="H210">
        <f t="shared" si="36"/>
        <v>0</v>
      </c>
      <c r="I210">
        <f t="shared" si="36"/>
        <v>2.25</v>
      </c>
      <c r="J210">
        <f t="shared" si="36"/>
        <v>2.25</v>
      </c>
      <c r="K210">
        <f t="shared" si="36"/>
        <v>2.25</v>
      </c>
      <c r="L210">
        <f t="shared" si="36"/>
        <v>2.25</v>
      </c>
      <c r="M210">
        <f t="shared" si="40"/>
        <v>102.25</v>
      </c>
      <c r="P210">
        <f t="shared" si="41"/>
        <v>2.5874999999999999</v>
      </c>
      <c r="Q210">
        <v>0.17499999999999999</v>
      </c>
      <c r="R210">
        <f t="shared" si="42"/>
        <v>98.984469196007311</v>
      </c>
      <c r="S210">
        <f t="shared" si="43"/>
        <v>0.39374999999999999</v>
      </c>
      <c r="T210">
        <f t="shared" si="38"/>
        <v>99.378219196007308</v>
      </c>
      <c r="U210">
        <f t="shared" si="39"/>
        <v>0</v>
      </c>
      <c r="V210">
        <f t="shared" si="39"/>
        <v>0</v>
      </c>
      <c r="W210">
        <f t="shared" si="39"/>
        <v>0</v>
      </c>
      <c r="X210">
        <f t="shared" si="39"/>
        <v>0</v>
      </c>
      <c r="Y210">
        <f t="shared" si="39"/>
        <v>0</v>
      </c>
      <c r="Z210">
        <f t="shared" si="39"/>
        <v>0.98003189558493531</v>
      </c>
      <c r="AA210">
        <f t="shared" si="39"/>
        <v>0.95636193762862676</v>
      </c>
      <c r="AB210">
        <f t="shared" si="39"/>
        <v>0.93326366199426847</v>
      </c>
      <c r="AC210">
        <f t="shared" si="39"/>
        <v>0.91072326127764669</v>
      </c>
      <c r="AD210">
        <f t="shared" si="39"/>
        <v>0.88872726155418069</v>
      </c>
    </row>
    <row r="211" spans="2:30">
      <c r="B211">
        <v>2.6</v>
      </c>
      <c r="D211">
        <f t="shared" si="36"/>
        <v>0</v>
      </c>
      <c r="E211">
        <f t="shared" si="36"/>
        <v>0</v>
      </c>
      <c r="F211">
        <f t="shared" si="36"/>
        <v>0</v>
      </c>
      <c r="G211">
        <f t="shared" si="36"/>
        <v>0</v>
      </c>
      <c r="H211">
        <f t="shared" si="36"/>
        <v>0</v>
      </c>
      <c r="I211">
        <f t="shared" si="36"/>
        <v>2.25</v>
      </c>
      <c r="J211">
        <f t="shared" si="36"/>
        <v>2.25</v>
      </c>
      <c r="K211">
        <f t="shared" si="36"/>
        <v>2.25</v>
      </c>
      <c r="L211">
        <f t="shared" si="36"/>
        <v>2.25</v>
      </c>
      <c r="M211">
        <f t="shared" si="40"/>
        <v>102.25</v>
      </c>
      <c r="P211">
        <f t="shared" si="41"/>
        <v>2.6</v>
      </c>
      <c r="Q211">
        <v>0.2</v>
      </c>
      <c r="R211">
        <f t="shared" si="42"/>
        <v>98.988979420959055</v>
      </c>
      <c r="S211">
        <f t="shared" si="43"/>
        <v>0.45</v>
      </c>
      <c r="T211">
        <f t="shared" si="38"/>
        <v>99.438979420959058</v>
      </c>
      <c r="U211">
        <f t="shared" ref="U211:AD226" si="44">IF((1/(1+$O$3/2)^((U$2-$P211)*2))&lt;=1,1/(1+$O$3/2)^((U$2-$P211)*2),0)</f>
        <v>0</v>
      </c>
      <c r="V211">
        <f t="shared" si="44"/>
        <v>0</v>
      </c>
      <c r="W211">
        <f t="shared" si="44"/>
        <v>0</v>
      </c>
      <c r="X211">
        <f t="shared" si="44"/>
        <v>0</v>
      </c>
      <c r="Y211">
        <f t="shared" si="44"/>
        <v>0</v>
      </c>
      <c r="Z211">
        <f t="shared" si="44"/>
        <v>0.98063109085043088</v>
      </c>
      <c r="AA211">
        <f t="shared" si="44"/>
        <v>0.95694666099090597</v>
      </c>
      <c r="AB211">
        <f t="shared" si="44"/>
        <v>0.93383426298209904</v>
      </c>
      <c r="AC211">
        <f t="shared" si="44"/>
        <v>0.91128008097789603</v>
      </c>
      <c r="AD211">
        <f t="shared" si="44"/>
        <v>0.88927063281570717</v>
      </c>
    </row>
    <row r="212" spans="2:30">
      <c r="B212">
        <v>2.6124999999999998</v>
      </c>
      <c r="D212">
        <f t="shared" si="36"/>
        <v>0</v>
      </c>
      <c r="E212">
        <f t="shared" si="36"/>
        <v>0</v>
      </c>
      <c r="F212">
        <f t="shared" si="36"/>
        <v>0</v>
      </c>
      <c r="G212">
        <f t="shared" si="36"/>
        <v>0</v>
      </c>
      <c r="H212">
        <f t="shared" si="36"/>
        <v>0</v>
      </c>
      <c r="I212">
        <f t="shared" si="36"/>
        <v>2.25</v>
      </c>
      <c r="J212">
        <f t="shared" si="36"/>
        <v>2.25</v>
      </c>
      <c r="K212">
        <f t="shared" si="36"/>
        <v>2.25</v>
      </c>
      <c r="L212">
        <f t="shared" si="36"/>
        <v>2.25</v>
      </c>
      <c r="M212">
        <f t="shared" si="40"/>
        <v>102.25</v>
      </c>
      <c r="P212">
        <f t="shared" si="41"/>
        <v>2.6124999999999998</v>
      </c>
      <c r="Q212">
        <v>0.22500000000000001</v>
      </c>
      <c r="R212">
        <f t="shared" si="42"/>
        <v>98.993526794945751</v>
      </c>
      <c r="S212">
        <f t="shared" si="43"/>
        <v>0.50624999999999998</v>
      </c>
      <c r="T212">
        <f t="shared" si="38"/>
        <v>99.499776794945745</v>
      </c>
      <c r="U212">
        <f t="shared" si="44"/>
        <v>0</v>
      </c>
      <c r="V212">
        <f t="shared" si="44"/>
        <v>0</v>
      </c>
      <c r="W212">
        <f t="shared" si="44"/>
        <v>0</v>
      </c>
      <c r="X212">
        <f t="shared" si="44"/>
        <v>0</v>
      </c>
      <c r="Y212">
        <f t="shared" si="44"/>
        <v>0</v>
      </c>
      <c r="Z212">
        <f t="shared" si="44"/>
        <v>0.98123065246621366</v>
      </c>
      <c r="AA212">
        <f t="shared" si="44"/>
        <v>0.95753174185529499</v>
      </c>
      <c r="AB212">
        <f t="shared" si="44"/>
        <v>0.93440521283756517</v>
      </c>
      <c r="AC212">
        <f t="shared" si="44"/>
        <v>0.91183724111984898</v>
      </c>
      <c r="AD212">
        <f t="shared" si="44"/>
        <v>0.8898143362965103</v>
      </c>
    </row>
    <row r="213" spans="2:30">
      <c r="B213">
        <v>2.625</v>
      </c>
      <c r="D213">
        <f t="shared" si="36"/>
        <v>0</v>
      </c>
      <c r="E213">
        <f t="shared" si="36"/>
        <v>0</v>
      </c>
      <c r="F213">
        <f t="shared" si="36"/>
        <v>0</v>
      </c>
      <c r="G213">
        <f t="shared" si="36"/>
        <v>0</v>
      </c>
      <c r="H213">
        <f t="shared" si="36"/>
        <v>0</v>
      </c>
      <c r="I213">
        <f t="shared" si="36"/>
        <v>2.25</v>
      </c>
      <c r="J213">
        <f t="shared" si="36"/>
        <v>2.25</v>
      </c>
      <c r="K213">
        <f t="shared" si="36"/>
        <v>2.25</v>
      </c>
      <c r="L213">
        <f t="shared" si="36"/>
        <v>2.25</v>
      </c>
      <c r="M213">
        <f t="shared" si="40"/>
        <v>102.25</v>
      </c>
      <c r="P213">
        <f t="shared" si="41"/>
        <v>2.625</v>
      </c>
      <c r="Q213">
        <v>0.25</v>
      </c>
      <c r="R213">
        <f t="shared" si="42"/>
        <v>98.998111340680438</v>
      </c>
      <c r="S213">
        <f t="shared" si="43"/>
        <v>0.5625</v>
      </c>
      <c r="T213">
        <f t="shared" si="38"/>
        <v>99.560611340680438</v>
      </c>
      <c r="U213">
        <f t="shared" si="44"/>
        <v>0</v>
      </c>
      <c r="V213">
        <f t="shared" si="44"/>
        <v>0</v>
      </c>
      <c r="W213">
        <f t="shared" si="44"/>
        <v>0</v>
      </c>
      <c r="X213">
        <f t="shared" si="44"/>
        <v>0</v>
      </c>
      <c r="Y213">
        <f t="shared" si="44"/>
        <v>0</v>
      </c>
      <c r="Z213">
        <f t="shared" si="44"/>
        <v>0.98183058065627116</v>
      </c>
      <c r="AA213">
        <f t="shared" si="44"/>
        <v>0.95811718044037208</v>
      </c>
      <c r="AB213">
        <f t="shared" si="44"/>
        <v>0.93497651177396635</v>
      </c>
      <c r="AC213">
        <f t="shared" si="44"/>
        <v>0.91239474191165282</v>
      </c>
      <c r="AD213">
        <f t="shared" si="44"/>
        <v>0.89035837219971004</v>
      </c>
    </row>
    <row r="214" spans="2:30">
      <c r="B214">
        <v>2.6375000000000002</v>
      </c>
      <c r="D214">
        <f t="shared" si="36"/>
        <v>0</v>
      </c>
      <c r="E214">
        <f t="shared" si="36"/>
        <v>0</v>
      </c>
      <c r="F214">
        <f t="shared" si="36"/>
        <v>0</v>
      </c>
      <c r="G214">
        <f t="shared" si="36"/>
        <v>0</v>
      </c>
      <c r="H214">
        <f t="shared" si="36"/>
        <v>0</v>
      </c>
      <c r="I214">
        <f t="shared" si="36"/>
        <v>2.25</v>
      </c>
      <c r="J214">
        <f t="shared" si="36"/>
        <v>2.25</v>
      </c>
      <c r="K214">
        <f t="shared" si="36"/>
        <v>2.25</v>
      </c>
      <c r="L214">
        <f t="shared" si="36"/>
        <v>2.25</v>
      </c>
      <c r="M214">
        <f t="shared" si="40"/>
        <v>102.25</v>
      </c>
      <c r="P214">
        <f t="shared" si="41"/>
        <v>2.6375000000000002</v>
      </c>
      <c r="Q214">
        <v>0.27500000000000002</v>
      </c>
      <c r="R214">
        <f t="shared" si="42"/>
        <v>99.002733080890067</v>
      </c>
      <c r="S214">
        <f t="shared" si="43"/>
        <v>0.61875000000000002</v>
      </c>
      <c r="T214">
        <f t="shared" si="38"/>
        <v>99.621483080890073</v>
      </c>
      <c r="U214">
        <f t="shared" si="44"/>
        <v>0</v>
      </c>
      <c r="V214">
        <f t="shared" si="44"/>
        <v>0</v>
      </c>
      <c r="W214">
        <f t="shared" si="44"/>
        <v>0</v>
      </c>
      <c r="X214">
        <f t="shared" si="44"/>
        <v>0</v>
      </c>
      <c r="Y214">
        <f t="shared" si="44"/>
        <v>0</v>
      </c>
      <c r="Z214">
        <f t="shared" si="44"/>
        <v>0.98243087564472875</v>
      </c>
      <c r="AA214">
        <f t="shared" si="44"/>
        <v>0.95870297696484874</v>
      </c>
      <c r="AB214">
        <f t="shared" si="44"/>
        <v>0.93554816000473162</v>
      </c>
      <c r="AC214">
        <f t="shared" si="44"/>
        <v>0.91295258356158249</v>
      </c>
      <c r="AD214">
        <f t="shared" si="44"/>
        <v>0.8909027407285508</v>
      </c>
    </row>
    <row r="215" spans="2:30">
      <c r="B215">
        <v>2.65</v>
      </c>
      <c r="D215">
        <f t="shared" si="36"/>
        <v>0</v>
      </c>
      <c r="E215">
        <f t="shared" si="36"/>
        <v>0</v>
      </c>
      <c r="F215">
        <f t="shared" si="36"/>
        <v>0</v>
      </c>
      <c r="G215">
        <f t="shared" si="36"/>
        <v>0</v>
      </c>
      <c r="H215">
        <f t="shared" si="36"/>
        <v>0</v>
      </c>
      <c r="I215">
        <f t="shared" si="36"/>
        <v>2.25</v>
      </c>
      <c r="J215">
        <f t="shared" si="36"/>
        <v>2.25</v>
      </c>
      <c r="K215">
        <f t="shared" si="36"/>
        <v>2.25</v>
      </c>
      <c r="L215">
        <f t="shared" si="36"/>
        <v>2.25</v>
      </c>
      <c r="M215">
        <f t="shared" si="40"/>
        <v>102.25</v>
      </c>
      <c r="P215">
        <f t="shared" si="41"/>
        <v>2.65</v>
      </c>
      <c r="Q215">
        <v>0.3</v>
      </c>
      <c r="R215">
        <f t="shared" si="42"/>
        <v>99.007392038315487</v>
      </c>
      <c r="S215">
        <f t="shared" si="43"/>
        <v>0.67499999999999993</v>
      </c>
      <c r="T215">
        <f t="shared" si="38"/>
        <v>99.682392038315484</v>
      </c>
      <c r="U215">
        <f t="shared" si="44"/>
        <v>0</v>
      </c>
      <c r="V215">
        <f t="shared" si="44"/>
        <v>0</v>
      </c>
      <c r="W215">
        <f t="shared" si="44"/>
        <v>0</v>
      </c>
      <c r="X215">
        <f t="shared" si="44"/>
        <v>0</v>
      </c>
      <c r="Y215">
        <f t="shared" si="44"/>
        <v>0</v>
      </c>
      <c r="Z215">
        <f t="shared" si="44"/>
        <v>0.98303153765584805</v>
      </c>
      <c r="AA215">
        <f t="shared" si="44"/>
        <v>0.95928913164757079</v>
      </c>
      <c r="AB215">
        <f t="shared" si="44"/>
        <v>0.93612015774342094</v>
      </c>
      <c r="AC215">
        <f t="shared" si="44"/>
        <v>0.9135107662780394</v>
      </c>
      <c r="AD215">
        <f t="shared" si="44"/>
        <v>0.89144744208640103</v>
      </c>
    </row>
    <row r="216" spans="2:30">
      <c r="B216">
        <v>2.6625000000000001</v>
      </c>
      <c r="D216">
        <f t="shared" si="36"/>
        <v>0</v>
      </c>
      <c r="E216">
        <f t="shared" si="36"/>
        <v>0</v>
      </c>
      <c r="F216">
        <f t="shared" si="36"/>
        <v>0</v>
      </c>
      <c r="G216">
        <f t="shared" si="36"/>
        <v>0</v>
      </c>
      <c r="H216">
        <f t="shared" si="36"/>
        <v>0</v>
      </c>
      <c r="I216">
        <f t="shared" si="36"/>
        <v>2.25</v>
      </c>
      <c r="J216">
        <f t="shared" si="36"/>
        <v>2.25</v>
      </c>
      <c r="K216">
        <f t="shared" si="36"/>
        <v>2.25</v>
      </c>
      <c r="L216">
        <f t="shared" si="36"/>
        <v>2.25</v>
      </c>
      <c r="M216">
        <f t="shared" si="40"/>
        <v>102.25</v>
      </c>
      <c r="P216">
        <f t="shared" si="41"/>
        <v>2.6625000000000001</v>
      </c>
      <c r="Q216">
        <v>0.32500000000000001</v>
      </c>
      <c r="R216">
        <f t="shared" si="42"/>
        <v>99.012088235711417</v>
      </c>
      <c r="S216">
        <f t="shared" si="43"/>
        <v>0.73125000000000007</v>
      </c>
      <c r="T216">
        <f t="shared" si="38"/>
        <v>99.74333823571142</v>
      </c>
      <c r="U216">
        <f t="shared" si="44"/>
        <v>0</v>
      </c>
      <c r="V216">
        <f t="shared" si="44"/>
        <v>0</v>
      </c>
      <c r="W216">
        <f t="shared" si="44"/>
        <v>0</v>
      </c>
      <c r="X216">
        <f t="shared" si="44"/>
        <v>0</v>
      </c>
      <c r="Y216">
        <f t="shared" si="44"/>
        <v>0</v>
      </c>
      <c r="Z216">
        <f t="shared" si="44"/>
        <v>0.98363256691402823</v>
      </c>
      <c r="AA216">
        <f t="shared" si="44"/>
        <v>0.95987564470751729</v>
      </c>
      <c r="AB216">
        <f t="shared" si="44"/>
        <v>0.93669250520372505</v>
      </c>
      <c r="AC216">
        <f t="shared" si="44"/>
        <v>0.91406929026955341</v>
      </c>
      <c r="AD216">
        <f t="shared" si="44"/>
        <v>0.89199247647675373</v>
      </c>
    </row>
    <row r="217" spans="2:30">
      <c r="B217">
        <v>2.6749999999999998</v>
      </c>
      <c r="D217">
        <f t="shared" si="36"/>
        <v>0</v>
      </c>
      <c r="E217">
        <f t="shared" si="36"/>
        <v>0</v>
      </c>
      <c r="F217">
        <f t="shared" si="36"/>
        <v>0</v>
      </c>
      <c r="G217">
        <f t="shared" si="36"/>
        <v>0</v>
      </c>
      <c r="H217">
        <f t="shared" si="36"/>
        <v>0</v>
      </c>
      <c r="I217">
        <f t="shared" si="36"/>
        <v>2.25</v>
      </c>
      <c r="J217">
        <f t="shared" si="36"/>
        <v>2.25</v>
      </c>
      <c r="K217">
        <f t="shared" si="36"/>
        <v>2.25</v>
      </c>
      <c r="L217">
        <f t="shared" si="36"/>
        <v>2.25</v>
      </c>
      <c r="M217">
        <f t="shared" si="40"/>
        <v>102.25</v>
      </c>
      <c r="P217">
        <f t="shared" si="41"/>
        <v>2.6749999999999998</v>
      </c>
      <c r="Q217">
        <v>0.35</v>
      </c>
      <c r="R217">
        <f t="shared" si="42"/>
        <v>99.016821695846573</v>
      </c>
      <c r="S217">
        <f t="shared" si="43"/>
        <v>0.78749999999999998</v>
      </c>
      <c r="T217">
        <f t="shared" si="38"/>
        <v>99.804321695846568</v>
      </c>
      <c r="U217">
        <f t="shared" si="44"/>
        <v>0</v>
      </c>
      <c r="V217">
        <f t="shared" si="44"/>
        <v>0</v>
      </c>
      <c r="W217">
        <f t="shared" si="44"/>
        <v>0</v>
      </c>
      <c r="X217">
        <f t="shared" si="44"/>
        <v>0</v>
      </c>
      <c r="Y217">
        <f t="shared" si="44"/>
        <v>0</v>
      </c>
      <c r="Z217">
        <f t="shared" si="44"/>
        <v>0.98423396364380566</v>
      </c>
      <c r="AA217">
        <f t="shared" si="44"/>
        <v>0.96046251636380153</v>
      </c>
      <c r="AB217">
        <f t="shared" si="44"/>
        <v>0.93726520259946466</v>
      </c>
      <c r="AC217">
        <f t="shared" si="44"/>
        <v>0.91462815574478129</v>
      </c>
      <c r="AD217">
        <f t="shared" si="44"/>
        <v>0.89253784410322634</v>
      </c>
    </row>
    <row r="218" spans="2:30">
      <c r="B218">
        <v>2.6875</v>
      </c>
      <c r="D218">
        <f t="shared" si="36"/>
        <v>0</v>
      </c>
      <c r="E218">
        <f t="shared" si="36"/>
        <v>0</v>
      </c>
      <c r="F218">
        <f t="shared" si="36"/>
        <v>0</v>
      </c>
      <c r="G218">
        <f t="shared" si="36"/>
        <v>0</v>
      </c>
      <c r="H218">
        <f t="shared" si="36"/>
        <v>0</v>
      </c>
      <c r="I218">
        <f t="shared" si="36"/>
        <v>2.25</v>
      </c>
      <c r="J218">
        <f t="shared" si="36"/>
        <v>2.25</v>
      </c>
      <c r="K218">
        <f t="shared" si="36"/>
        <v>2.25</v>
      </c>
      <c r="L218">
        <f t="shared" si="36"/>
        <v>2.25</v>
      </c>
      <c r="M218">
        <f t="shared" si="40"/>
        <v>102.25</v>
      </c>
      <c r="P218">
        <f t="shared" si="41"/>
        <v>2.6875</v>
      </c>
      <c r="Q218">
        <v>0.375</v>
      </c>
      <c r="R218">
        <f t="shared" si="42"/>
        <v>99.021592441503486</v>
      </c>
      <c r="S218">
        <f t="shared" si="43"/>
        <v>0.84375</v>
      </c>
      <c r="T218">
        <f t="shared" si="38"/>
        <v>99.865342441503486</v>
      </c>
      <c r="U218">
        <f t="shared" si="44"/>
        <v>0</v>
      </c>
      <c r="V218">
        <f t="shared" si="44"/>
        <v>0</v>
      </c>
      <c r="W218">
        <f t="shared" si="44"/>
        <v>0</v>
      </c>
      <c r="X218">
        <f t="shared" si="44"/>
        <v>0</v>
      </c>
      <c r="Y218">
        <f t="shared" si="44"/>
        <v>0</v>
      </c>
      <c r="Z218">
        <f t="shared" si="44"/>
        <v>0.98483572806985353</v>
      </c>
      <c r="AA218">
        <f t="shared" si="44"/>
        <v>0.96104974683567079</v>
      </c>
      <c r="AB218">
        <f t="shared" si="44"/>
        <v>0.9378382501445921</v>
      </c>
      <c r="AC218">
        <f t="shared" si="44"/>
        <v>0.91518736291250746</v>
      </c>
      <c r="AD218">
        <f t="shared" si="44"/>
        <v>0.89308354516956079</v>
      </c>
    </row>
    <row r="219" spans="2:30">
      <c r="B219">
        <v>2.7</v>
      </c>
      <c r="D219">
        <f t="shared" si="36"/>
        <v>0</v>
      </c>
      <c r="E219">
        <f t="shared" si="36"/>
        <v>0</v>
      </c>
      <c r="F219">
        <f t="shared" si="36"/>
        <v>0</v>
      </c>
      <c r="G219">
        <f t="shared" si="36"/>
        <v>0</v>
      </c>
      <c r="H219">
        <f t="shared" si="36"/>
        <v>0</v>
      </c>
      <c r="I219">
        <f t="shared" si="36"/>
        <v>2.25</v>
      </c>
      <c r="J219">
        <f t="shared" si="36"/>
        <v>2.25</v>
      </c>
      <c r="K219">
        <f t="shared" si="36"/>
        <v>2.25</v>
      </c>
      <c r="L219">
        <f t="shared" si="36"/>
        <v>2.25</v>
      </c>
      <c r="M219">
        <f t="shared" si="40"/>
        <v>102.25</v>
      </c>
      <c r="P219">
        <f t="shared" si="41"/>
        <v>2.7</v>
      </c>
      <c r="Q219">
        <v>0.4</v>
      </c>
      <c r="R219">
        <f t="shared" si="42"/>
        <v>99.026400495478711</v>
      </c>
      <c r="S219">
        <f t="shared" si="43"/>
        <v>0.9</v>
      </c>
      <c r="T219">
        <f t="shared" si="38"/>
        <v>99.926400495478717</v>
      </c>
      <c r="U219">
        <f t="shared" si="44"/>
        <v>0</v>
      </c>
      <c r="V219">
        <f t="shared" si="44"/>
        <v>0</v>
      </c>
      <c r="W219">
        <f t="shared" si="44"/>
        <v>0</v>
      </c>
      <c r="X219">
        <f t="shared" si="44"/>
        <v>0</v>
      </c>
      <c r="Y219">
        <f t="shared" si="44"/>
        <v>0</v>
      </c>
      <c r="Z219">
        <f t="shared" si="44"/>
        <v>0.98543786041698334</v>
      </c>
      <c r="AA219">
        <f t="shared" si="44"/>
        <v>0.96163733634250614</v>
      </c>
      <c r="AB219">
        <f t="shared" si="44"/>
        <v>0.93841164805318977</v>
      </c>
      <c r="AC219">
        <f t="shared" si="44"/>
        <v>0.91574691198164393</v>
      </c>
      <c r="AD219">
        <f t="shared" si="44"/>
        <v>0.89362957987962333</v>
      </c>
    </row>
    <row r="220" spans="2:30">
      <c r="B220">
        <v>2.7124999999999999</v>
      </c>
      <c r="D220">
        <f t="shared" si="36"/>
        <v>0</v>
      </c>
      <c r="E220">
        <f t="shared" si="36"/>
        <v>0</v>
      </c>
      <c r="F220">
        <f t="shared" si="36"/>
        <v>0</v>
      </c>
      <c r="G220">
        <f t="shared" si="36"/>
        <v>0</v>
      </c>
      <c r="H220">
        <f t="shared" si="36"/>
        <v>0</v>
      </c>
      <c r="I220">
        <f t="shared" si="36"/>
        <v>2.25</v>
      </c>
      <c r="J220">
        <f t="shared" si="36"/>
        <v>2.25</v>
      </c>
      <c r="K220">
        <f t="shared" si="36"/>
        <v>2.25</v>
      </c>
      <c r="L220">
        <f t="shared" si="36"/>
        <v>2.25</v>
      </c>
      <c r="M220">
        <f t="shared" si="40"/>
        <v>102.25</v>
      </c>
      <c r="P220">
        <f t="shared" si="41"/>
        <v>2.7124999999999999</v>
      </c>
      <c r="Q220">
        <v>0.42499999999999999</v>
      </c>
      <c r="R220">
        <f t="shared" si="42"/>
        <v>99.031245880582659</v>
      </c>
      <c r="S220">
        <f t="shared" si="43"/>
        <v>0.95624999999999993</v>
      </c>
      <c r="T220">
        <f t="shared" si="38"/>
        <v>99.987495880582657</v>
      </c>
      <c r="U220">
        <f t="shared" si="44"/>
        <v>0</v>
      </c>
      <c r="V220">
        <f t="shared" si="44"/>
        <v>0</v>
      </c>
      <c r="W220">
        <f t="shared" si="44"/>
        <v>0</v>
      </c>
      <c r="X220">
        <f t="shared" si="44"/>
        <v>0</v>
      </c>
      <c r="Y220">
        <f t="shared" si="44"/>
        <v>0</v>
      </c>
      <c r="Z220">
        <f t="shared" si="44"/>
        <v>0.98604036091014291</v>
      </c>
      <c r="AA220">
        <f t="shared" si="44"/>
        <v>0.96222528510382321</v>
      </c>
      <c r="AB220">
        <f t="shared" si="44"/>
        <v>0.93898539653947122</v>
      </c>
      <c r="AC220">
        <f t="shared" si="44"/>
        <v>0.9163068031612307</v>
      </c>
      <c r="AD220">
        <f t="shared" si="44"/>
        <v>0.89417594843740489</v>
      </c>
    </row>
    <row r="221" spans="2:30">
      <c r="B221">
        <v>2.7250000000000001</v>
      </c>
      <c r="D221">
        <f t="shared" si="36"/>
        <v>0</v>
      </c>
      <c r="E221">
        <f t="shared" si="36"/>
        <v>0</v>
      </c>
      <c r="F221">
        <f t="shared" si="36"/>
        <v>0</v>
      </c>
      <c r="G221">
        <f t="shared" si="36"/>
        <v>0</v>
      </c>
      <c r="H221">
        <f t="shared" si="36"/>
        <v>0</v>
      </c>
      <c r="I221">
        <f t="shared" si="36"/>
        <v>2.25</v>
      </c>
      <c r="J221">
        <f t="shared" si="36"/>
        <v>2.25</v>
      </c>
      <c r="K221">
        <f t="shared" si="36"/>
        <v>2.25</v>
      </c>
      <c r="L221">
        <f t="shared" si="36"/>
        <v>2.25</v>
      </c>
      <c r="M221">
        <f t="shared" si="40"/>
        <v>102.25</v>
      </c>
      <c r="P221">
        <f t="shared" si="41"/>
        <v>2.7250000000000001</v>
      </c>
      <c r="Q221">
        <v>0.45</v>
      </c>
      <c r="R221">
        <f t="shared" si="42"/>
        <v>99.036128619639754</v>
      </c>
      <c r="S221">
        <f t="shared" si="43"/>
        <v>1.0125</v>
      </c>
      <c r="T221">
        <f t="shared" si="38"/>
        <v>100.04862861963976</v>
      </c>
      <c r="U221">
        <f t="shared" si="44"/>
        <v>0</v>
      </c>
      <c r="V221">
        <f t="shared" si="44"/>
        <v>0</v>
      </c>
      <c r="W221">
        <f t="shared" si="44"/>
        <v>0</v>
      </c>
      <c r="X221">
        <f t="shared" si="44"/>
        <v>0</v>
      </c>
      <c r="Y221">
        <f t="shared" si="44"/>
        <v>0</v>
      </c>
      <c r="Z221">
        <f t="shared" si="44"/>
        <v>0.98664322977441832</v>
      </c>
      <c r="AA221">
        <f t="shared" si="44"/>
        <v>0.96281359333927141</v>
      </c>
      <c r="AB221">
        <f t="shared" si="44"/>
        <v>0.93955949581778131</v>
      </c>
      <c r="AC221">
        <f t="shared" si="44"/>
        <v>0.91686703666043545</v>
      </c>
      <c r="AD221">
        <f t="shared" si="44"/>
        <v>0.89472265104702164</v>
      </c>
    </row>
    <row r="222" spans="2:30">
      <c r="B222">
        <v>2.7374999999999998</v>
      </c>
      <c r="D222">
        <f t="shared" si="36"/>
        <v>0</v>
      </c>
      <c r="E222">
        <f t="shared" si="36"/>
        <v>0</v>
      </c>
      <c r="F222">
        <f t="shared" si="36"/>
        <v>0</v>
      </c>
      <c r="G222">
        <f t="shared" si="36"/>
        <v>0</v>
      </c>
      <c r="H222">
        <f t="shared" si="36"/>
        <v>0</v>
      </c>
      <c r="I222">
        <f t="shared" si="36"/>
        <v>2.25</v>
      </c>
      <c r="J222">
        <f t="shared" si="36"/>
        <v>2.25</v>
      </c>
      <c r="K222">
        <f t="shared" si="36"/>
        <v>2.25</v>
      </c>
      <c r="L222">
        <f t="shared" si="36"/>
        <v>2.25</v>
      </c>
      <c r="M222">
        <f t="shared" si="40"/>
        <v>102.25</v>
      </c>
      <c r="P222">
        <f t="shared" si="41"/>
        <v>2.7374999999999998</v>
      </c>
      <c r="Q222">
        <v>0.47499999999999998</v>
      </c>
      <c r="R222">
        <f t="shared" si="42"/>
        <v>99.041048735488332</v>
      </c>
      <c r="S222">
        <f t="shared" si="43"/>
        <v>1.0687499999999999</v>
      </c>
      <c r="T222">
        <f t="shared" si="38"/>
        <v>100.10979873548833</v>
      </c>
      <c r="U222">
        <f t="shared" si="44"/>
        <v>0</v>
      </c>
      <c r="V222">
        <f t="shared" si="44"/>
        <v>0</v>
      </c>
      <c r="W222">
        <f t="shared" si="44"/>
        <v>0</v>
      </c>
      <c r="X222">
        <f t="shared" si="44"/>
        <v>0</v>
      </c>
      <c r="Y222">
        <f t="shared" si="44"/>
        <v>0</v>
      </c>
      <c r="Z222">
        <f t="shared" si="44"/>
        <v>0.98724646723503318</v>
      </c>
      <c r="AA222">
        <f t="shared" si="44"/>
        <v>0.96340226126863449</v>
      </c>
      <c r="AB222">
        <f t="shared" si="44"/>
        <v>0.94013394610259526</v>
      </c>
      <c r="AC222">
        <f t="shared" si="44"/>
        <v>0.91742761268855355</v>
      </c>
      <c r="AD222">
        <f t="shared" si="44"/>
        <v>0.89526968791271377</v>
      </c>
    </row>
    <row r="223" spans="2:30">
      <c r="B223">
        <v>2.75</v>
      </c>
      <c r="D223">
        <f t="shared" si="36"/>
        <v>0</v>
      </c>
      <c r="E223">
        <f t="shared" si="36"/>
        <v>0</v>
      </c>
      <c r="F223">
        <f t="shared" si="36"/>
        <v>0</v>
      </c>
      <c r="G223">
        <f t="shared" si="36"/>
        <v>0</v>
      </c>
      <c r="H223">
        <f t="shared" si="36"/>
        <v>0</v>
      </c>
      <c r="I223">
        <f t="shared" si="36"/>
        <v>2.25</v>
      </c>
      <c r="J223">
        <f t="shared" si="36"/>
        <v>2.25</v>
      </c>
      <c r="K223">
        <f t="shared" si="36"/>
        <v>2.25</v>
      </c>
      <c r="L223">
        <f t="shared" si="36"/>
        <v>2.25</v>
      </c>
      <c r="M223">
        <f t="shared" si="40"/>
        <v>102.25</v>
      </c>
      <c r="P223">
        <f t="shared" si="41"/>
        <v>2.75</v>
      </c>
      <c r="Q223">
        <v>0.5</v>
      </c>
      <c r="R223">
        <f t="shared" si="42"/>
        <v>99.046006250980682</v>
      </c>
      <c r="S223">
        <f t="shared" si="43"/>
        <v>1.125</v>
      </c>
      <c r="T223">
        <f t="shared" si="38"/>
        <v>100.17100625098068</v>
      </c>
      <c r="U223">
        <f t="shared" si="44"/>
        <v>0</v>
      </c>
      <c r="V223">
        <f t="shared" si="44"/>
        <v>0</v>
      </c>
      <c r="W223">
        <f t="shared" si="44"/>
        <v>0</v>
      </c>
      <c r="X223">
        <f t="shared" si="44"/>
        <v>0</v>
      </c>
      <c r="Y223">
        <f t="shared" si="44"/>
        <v>0</v>
      </c>
      <c r="Z223">
        <f t="shared" si="44"/>
        <v>0.98785007351734877</v>
      </c>
      <c r="AA223">
        <f t="shared" si="44"/>
        <v>0.96399128911183096</v>
      </c>
      <c r="AB223">
        <f t="shared" si="44"/>
        <v>0.94070874760851986</v>
      </c>
      <c r="AC223">
        <f t="shared" si="44"/>
        <v>0.91798853145500836</v>
      </c>
      <c r="AD223">
        <f t="shared" si="44"/>
        <v>0.89581705923884691</v>
      </c>
    </row>
    <row r="224" spans="2:30">
      <c r="B224">
        <v>2.7625000000000002</v>
      </c>
      <c r="D224">
        <f t="shared" si="36"/>
        <v>0</v>
      </c>
      <c r="E224">
        <f t="shared" si="36"/>
        <v>0</v>
      </c>
      <c r="F224">
        <f t="shared" si="36"/>
        <v>0</v>
      </c>
      <c r="G224">
        <f t="shared" si="36"/>
        <v>0</v>
      </c>
      <c r="H224">
        <f t="shared" si="36"/>
        <v>0</v>
      </c>
      <c r="I224">
        <f t="shared" si="36"/>
        <v>2.25</v>
      </c>
      <c r="J224">
        <f t="shared" si="36"/>
        <v>2.25</v>
      </c>
      <c r="K224">
        <f t="shared" si="36"/>
        <v>2.25</v>
      </c>
      <c r="L224">
        <f t="shared" si="36"/>
        <v>2.25</v>
      </c>
      <c r="M224">
        <f t="shared" si="40"/>
        <v>102.25</v>
      </c>
      <c r="P224">
        <f t="shared" si="41"/>
        <v>2.7625000000000002</v>
      </c>
      <c r="Q224">
        <v>0.52500000000000002</v>
      </c>
      <c r="R224">
        <f t="shared" si="42"/>
        <v>99.051001188983136</v>
      </c>
      <c r="S224">
        <f t="shared" si="43"/>
        <v>1.1812500000000001</v>
      </c>
      <c r="T224">
        <f t="shared" si="38"/>
        <v>100.23225118898314</v>
      </c>
      <c r="U224">
        <f t="shared" si="44"/>
        <v>0</v>
      </c>
      <c r="V224">
        <f t="shared" si="44"/>
        <v>0</v>
      </c>
      <c r="W224">
        <f t="shared" si="44"/>
        <v>0</v>
      </c>
      <c r="X224">
        <f t="shared" si="44"/>
        <v>0</v>
      </c>
      <c r="Y224">
        <f t="shared" si="44"/>
        <v>0</v>
      </c>
      <c r="Z224">
        <f t="shared" si="44"/>
        <v>0.98845404884686383</v>
      </c>
      <c r="AA224">
        <f t="shared" si="44"/>
        <v>0.96458067708891304</v>
      </c>
      <c r="AB224">
        <f t="shared" si="44"/>
        <v>0.94128390055029321</v>
      </c>
      <c r="AC224">
        <f t="shared" si="44"/>
        <v>0.91854979316935181</v>
      </c>
      <c r="AD224">
        <f t="shared" si="44"/>
        <v>0.89636476522991149</v>
      </c>
    </row>
    <row r="225" spans="2:30">
      <c r="B225">
        <v>2.7749999999999999</v>
      </c>
      <c r="D225">
        <f t="shared" si="36"/>
        <v>0</v>
      </c>
      <c r="E225">
        <f t="shared" si="36"/>
        <v>0</v>
      </c>
      <c r="F225">
        <f t="shared" si="36"/>
        <v>0</v>
      </c>
      <c r="G225">
        <f t="shared" si="36"/>
        <v>0</v>
      </c>
      <c r="H225">
        <f t="shared" si="36"/>
        <v>0</v>
      </c>
      <c r="I225">
        <f t="shared" si="36"/>
        <v>2.25</v>
      </c>
      <c r="J225">
        <f t="shared" si="36"/>
        <v>2.25</v>
      </c>
      <c r="K225">
        <f t="shared" si="36"/>
        <v>2.25</v>
      </c>
      <c r="L225">
        <f t="shared" si="36"/>
        <v>2.25</v>
      </c>
      <c r="M225">
        <f t="shared" si="40"/>
        <v>102.25</v>
      </c>
      <c r="P225">
        <f t="shared" si="41"/>
        <v>2.7749999999999999</v>
      </c>
      <c r="Q225">
        <v>0.55000000000000004</v>
      </c>
      <c r="R225">
        <f t="shared" si="42"/>
        <v>99.056033572375952</v>
      </c>
      <c r="S225">
        <f t="shared" si="43"/>
        <v>1.2375</v>
      </c>
      <c r="T225">
        <f t="shared" si="38"/>
        <v>100.29353357237595</v>
      </c>
      <c r="U225">
        <f t="shared" si="44"/>
        <v>0</v>
      </c>
      <c r="V225">
        <f t="shared" si="44"/>
        <v>0</v>
      </c>
      <c r="W225">
        <f t="shared" si="44"/>
        <v>0</v>
      </c>
      <c r="X225">
        <f t="shared" si="44"/>
        <v>0</v>
      </c>
      <c r="Y225">
        <f t="shared" si="44"/>
        <v>0</v>
      </c>
      <c r="Z225">
        <f t="shared" si="44"/>
        <v>0.98905839344921531</v>
      </c>
      <c r="AA225">
        <f t="shared" si="44"/>
        <v>0.96517042542006859</v>
      </c>
      <c r="AB225">
        <f t="shared" si="44"/>
        <v>0.94185940514278454</v>
      </c>
      <c r="AC225">
        <f t="shared" si="44"/>
        <v>0.91911139804126329</v>
      </c>
      <c r="AD225">
        <f t="shared" si="44"/>
        <v>0.89691280609052282</v>
      </c>
    </row>
    <row r="226" spans="2:30">
      <c r="B226">
        <v>2.7875000000000001</v>
      </c>
      <c r="D226">
        <f t="shared" si="36"/>
        <v>0</v>
      </c>
      <c r="E226">
        <f t="shared" si="36"/>
        <v>0</v>
      </c>
      <c r="F226">
        <f t="shared" si="36"/>
        <v>0</v>
      </c>
      <c r="G226">
        <f t="shared" si="36"/>
        <v>0</v>
      </c>
      <c r="H226">
        <f t="shared" si="36"/>
        <v>0</v>
      </c>
      <c r="I226">
        <f t="shared" si="36"/>
        <v>2.25</v>
      </c>
      <c r="J226">
        <f t="shared" si="36"/>
        <v>2.25</v>
      </c>
      <c r="K226">
        <f t="shared" si="36"/>
        <v>2.25</v>
      </c>
      <c r="L226">
        <f t="shared" si="36"/>
        <v>2.25</v>
      </c>
      <c r="M226">
        <f t="shared" si="40"/>
        <v>102.25</v>
      </c>
      <c r="P226">
        <f t="shared" si="41"/>
        <v>2.7875000000000001</v>
      </c>
      <c r="Q226">
        <v>0.57499999999999996</v>
      </c>
      <c r="R226">
        <f t="shared" si="42"/>
        <v>99.061103424053357</v>
      </c>
      <c r="S226">
        <f t="shared" si="43"/>
        <v>1.29375</v>
      </c>
      <c r="T226">
        <f t="shared" si="38"/>
        <v>100.35485342405336</v>
      </c>
      <c r="U226">
        <f t="shared" si="44"/>
        <v>0</v>
      </c>
      <c r="V226">
        <f t="shared" si="44"/>
        <v>0</v>
      </c>
      <c r="W226">
        <f t="shared" si="44"/>
        <v>0</v>
      </c>
      <c r="X226">
        <f t="shared" si="44"/>
        <v>0</v>
      </c>
      <c r="Y226">
        <f t="shared" si="44"/>
        <v>0</v>
      </c>
      <c r="Z226">
        <f t="shared" si="44"/>
        <v>0.98966310755017817</v>
      </c>
      <c r="AA226">
        <f t="shared" si="44"/>
        <v>0.96576053432561904</v>
      </c>
      <c r="AB226">
        <f t="shared" si="44"/>
        <v>0.94243526160099433</v>
      </c>
      <c r="AC226">
        <f t="shared" si="44"/>
        <v>0.91967334628055075</v>
      </c>
      <c r="AD226">
        <f t="shared" si="44"/>
        <v>0.89746118202542147</v>
      </c>
    </row>
    <row r="227" spans="2:30">
      <c r="B227">
        <v>2.8</v>
      </c>
      <c r="D227">
        <f t="shared" si="36"/>
        <v>0</v>
      </c>
      <c r="E227">
        <f t="shared" si="36"/>
        <v>0</v>
      </c>
      <c r="F227">
        <f t="shared" si="36"/>
        <v>0</v>
      </c>
      <c r="G227">
        <f t="shared" si="36"/>
        <v>0</v>
      </c>
      <c r="H227">
        <f t="shared" si="36"/>
        <v>0</v>
      </c>
      <c r="I227">
        <f t="shared" si="36"/>
        <v>2.25</v>
      </c>
      <c r="J227">
        <f t="shared" si="36"/>
        <v>2.25</v>
      </c>
      <c r="K227">
        <f t="shared" si="36"/>
        <v>2.25</v>
      </c>
      <c r="L227">
        <f t="shared" si="36"/>
        <v>2.25</v>
      </c>
      <c r="M227">
        <f t="shared" si="40"/>
        <v>102.25</v>
      </c>
      <c r="P227">
        <f t="shared" si="41"/>
        <v>2.8</v>
      </c>
      <c r="Q227">
        <v>0.6</v>
      </c>
      <c r="R227">
        <f t="shared" si="42"/>
        <v>99.066210766923632</v>
      </c>
      <c r="S227">
        <f t="shared" si="43"/>
        <v>1.3499999999999999</v>
      </c>
      <c r="T227">
        <f t="shared" si="38"/>
        <v>100.41621076692363</v>
      </c>
      <c r="U227">
        <f t="shared" ref="U227:AD242" si="45">IF((1/(1+$O$3/2)^((U$2-$P227)*2))&lt;=1,1/(1+$O$3/2)^((U$2-$P227)*2),0)</f>
        <v>0</v>
      </c>
      <c r="V227">
        <f t="shared" si="45"/>
        <v>0</v>
      </c>
      <c r="W227">
        <f t="shared" si="45"/>
        <v>0</v>
      </c>
      <c r="X227">
        <f t="shared" si="45"/>
        <v>0</v>
      </c>
      <c r="Y227">
        <f t="shared" si="45"/>
        <v>0</v>
      </c>
      <c r="Z227">
        <f t="shared" si="45"/>
        <v>0.99026819137566513</v>
      </c>
      <c r="AA227">
        <f t="shared" si="45"/>
        <v>0.96635100402602103</v>
      </c>
      <c r="AB227">
        <f t="shared" si="45"/>
        <v>0.9430114701400546</v>
      </c>
      <c r="AC227">
        <f t="shared" si="45"/>
        <v>0.92023563809715014</v>
      </c>
      <c r="AD227">
        <f t="shared" si="45"/>
        <v>0.89800989323947311</v>
      </c>
    </row>
    <row r="228" spans="2:30">
      <c r="B228">
        <v>2.8125</v>
      </c>
      <c r="D228">
        <f t="shared" si="36"/>
        <v>0</v>
      </c>
      <c r="E228">
        <f t="shared" si="36"/>
        <v>0</v>
      </c>
      <c r="F228">
        <f t="shared" si="36"/>
        <v>0</v>
      </c>
      <c r="G228">
        <f t="shared" si="36"/>
        <v>0</v>
      </c>
      <c r="H228">
        <f t="shared" si="36"/>
        <v>0</v>
      </c>
      <c r="I228">
        <f t="shared" si="36"/>
        <v>2.25</v>
      </c>
      <c r="J228">
        <f t="shared" si="36"/>
        <v>2.25</v>
      </c>
      <c r="K228">
        <f t="shared" si="36"/>
        <v>2.25</v>
      </c>
      <c r="L228">
        <f t="shared" si="36"/>
        <v>2.25</v>
      </c>
      <c r="M228">
        <f t="shared" si="40"/>
        <v>102.25</v>
      </c>
      <c r="P228">
        <f t="shared" si="41"/>
        <v>2.8125</v>
      </c>
      <c r="Q228">
        <v>0.625</v>
      </c>
      <c r="R228">
        <f t="shared" si="42"/>
        <v>99.071355623909028</v>
      </c>
      <c r="S228">
        <f t="shared" si="43"/>
        <v>1.40625</v>
      </c>
      <c r="T228">
        <f t="shared" si="38"/>
        <v>100.47760562390903</v>
      </c>
      <c r="U228">
        <f t="shared" si="45"/>
        <v>0</v>
      </c>
      <c r="V228">
        <f t="shared" si="45"/>
        <v>0</v>
      </c>
      <c r="W228">
        <f t="shared" si="45"/>
        <v>0</v>
      </c>
      <c r="X228">
        <f t="shared" si="45"/>
        <v>0</v>
      </c>
      <c r="Y228">
        <f t="shared" si="45"/>
        <v>0</v>
      </c>
      <c r="Z228">
        <f t="shared" si="45"/>
        <v>0.99087364515172727</v>
      </c>
      <c r="AA228">
        <f t="shared" si="45"/>
        <v>0.96694183474186624</v>
      </c>
      <c r="AB228">
        <f t="shared" si="45"/>
        <v>0.94358803097522914</v>
      </c>
      <c r="AC228">
        <f t="shared" si="45"/>
        <v>0.92079827370112621</v>
      </c>
      <c r="AD228">
        <f t="shared" si="45"/>
        <v>0.89855893993766889</v>
      </c>
    </row>
    <row r="229" spans="2:30">
      <c r="B229">
        <v>2.8250000000000002</v>
      </c>
      <c r="D229">
        <f t="shared" si="36"/>
        <v>0</v>
      </c>
      <c r="E229">
        <f t="shared" si="36"/>
        <v>0</v>
      </c>
      <c r="F229">
        <f t="shared" si="36"/>
        <v>0</v>
      </c>
      <c r="G229">
        <f t="shared" si="36"/>
        <v>0</v>
      </c>
      <c r="H229">
        <f t="shared" si="36"/>
        <v>0</v>
      </c>
      <c r="I229">
        <f t="shared" si="36"/>
        <v>2.25</v>
      </c>
      <c r="J229">
        <f t="shared" si="36"/>
        <v>2.25</v>
      </c>
      <c r="K229">
        <f t="shared" si="36"/>
        <v>2.25</v>
      </c>
      <c r="L229">
        <f t="shared" ref="E229:L261" si="46">IF($B229&lt;=L$2,100*$D$1/2,0)</f>
        <v>2.25</v>
      </c>
      <c r="M229">
        <f t="shared" si="40"/>
        <v>102.25</v>
      </c>
      <c r="P229">
        <f t="shared" si="41"/>
        <v>2.8250000000000002</v>
      </c>
      <c r="Q229">
        <v>0.65</v>
      </c>
      <c r="R229">
        <f t="shared" si="42"/>
        <v>99.076538017945808</v>
      </c>
      <c r="S229">
        <f t="shared" si="43"/>
        <v>1.4625000000000001</v>
      </c>
      <c r="T229">
        <f t="shared" si="38"/>
        <v>100.53903801794581</v>
      </c>
      <c r="U229">
        <f t="shared" si="45"/>
        <v>0</v>
      </c>
      <c r="V229">
        <f t="shared" si="45"/>
        <v>0</v>
      </c>
      <c r="W229">
        <f t="shared" si="45"/>
        <v>0</v>
      </c>
      <c r="X229">
        <f t="shared" si="45"/>
        <v>0</v>
      </c>
      <c r="Y229">
        <f t="shared" si="45"/>
        <v>0</v>
      </c>
      <c r="Z229">
        <f t="shared" si="45"/>
        <v>0.99147946910455398</v>
      </c>
      <c r="AA229">
        <f t="shared" si="45"/>
        <v>0.96753302669388042</v>
      </c>
      <c r="AB229">
        <f t="shared" si="45"/>
        <v>0.94416494432191289</v>
      </c>
      <c r="AC229">
        <f t="shared" si="45"/>
        <v>0.92136125330267171</v>
      </c>
      <c r="AD229">
        <f t="shared" si="45"/>
        <v>0.89910832232512494</v>
      </c>
    </row>
    <row r="230" spans="2:30">
      <c r="B230">
        <v>2.8374999999999999</v>
      </c>
      <c r="D230">
        <f t="shared" ref="D230:D293" si="47">IF($B230&lt;=D$2,100*$D$1/2,0)</f>
        <v>0</v>
      </c>
      <c r="E230">
        <f t="shared" si="46"/>
        <v>0</v>
      </c>
      <c r="F230">
        <f t="shared" si="46"/>
        <v>0</v>
      </c>
      <c r="G230">
        <f t="shared" si="46"/>
        <v>0</v>
      </c>
      <c r="H230">
        <f t="shared" si="46"/>
        <v>0</v>
      </c>
      <c r="I230">
        <f t="shared" si="46"/>
        <v>2.25</v>
      </c>
      <c r="J230">
        <f t="shared" si="46"/>
        <v>2.25</v>
      </c>
      <c r="K230">
        <f t="shared" si="46"/>
        <v>2.25</v>
      </c>
      <c r="L230">
        <f t="shared" si="46"/>
        <v>2.25</v>
      </c>
      <c r="M230">
        <f t="shared" si="40"/>
        <v>102.25</v>
      </c>
      <c r="P230">
        <f t="shared" si="41"/>
        <v>2.8374999999999999</v>
      </c>
      <c r="Q230">
        <v>0.67500000000000004</v>
      </c>
      <c r="R230">
        <f t="shared" si="42"/>
        <v>99.081757971984288</v>
      </c>
      <c r="S230">
        <f t="shared" si="43"/>
        <v>1.51875</v>
      </c>
      <c r="T230">
        <f t="shared" si="38"/>
        <v>100.60050797198429</v>
      </c>
      <c r="U230">
        <f t="shared" si="45"/>
        <v>0</v>
      </c>
      <c r="V230">
        <f t="shared" si="45"/>
        <v>0</v>
      </c>
      <c r="W230">
        <f t="shared" si="45"/>
        <v>0</v>
      </c>
      <c r="X230">
        <f t="shared" si="45"/>
        <v>0</v>
      </c>
      <c r="Y230">
        <f t="shared" si="45"/>
        <v>0</v>
      </c>
      <c r="Z230">
        <f t="shared" si="45"/>
        <v>0.99208566346047244</v>
      </c>
      <c r="AA230">
        <f t="shared" si="45"/>
        <v>0.9681245801029249</v>
      </c>
      <c r="AB230">
        <f t="shared" si="45"/>
        <v>0.94474221039563289</v>
      </c>
      <c r="AC230">
        <f t="shared" si="45"/>
        <v>0.92192457711210829</v>
      </c>
      <c r="AD230">
        <f t="shared" si="45"/>
        <v>0.89965804060708299</v>
      </c>
    </row>
    <row r="231" spans="2:30">
      <c r="B231">
        <v>2.85</v>
      </c>
      <c r="D231">
        <f t="shared" si="47"/>
        <v>0</v>
      </c>
      <c r="E231">
        <f t="shared" si="46"/>
        <v>0</v>
      </c>
      <c r="F231">
        <f t="shared" si="46"/>
        <v>0</v>
      </c>
      <c r="G231">
        <f t="shared" si="46"/>
        <v>0</v>
      </c>
      <c r="H231">
        <f t="shared" si="46"/>
        <v>0</v>
      </c>
      <c r="I231">
        <f t="shared" si="46"/>
        <v>2.25</v>
      </c>
      <c r="J231">
        <f t="shared" si="46"/>
        <v>2.25</v>
      </c>
      <c r="K231">
        <f t="shared" si="46"/>
        <v>2.25</v>
      </c>
      <c r="L231">
        <f t="shared" si="46"/>
        <v>2.25</v>
      </c>
      <c r="M231">
        <f t="shared" si="40"/>
        <v>102.25</v>
      </c>
      <c r="P231">
        <f t="shared" si="41"/>
        <v>2.85</v>
      </c>
      <c r="Q231">
        <v>0.7</v>
      </c>
      <c r="R231">
        <f t="shared" si="42"/>
        <v>99.087015508988785</v>
      </c>
      <c r="S231">
        <f t="shared" si="43"/>
        <v>1.575</v>
      </c>
      <c r="T231">
        <f t="shared" si="38"/>
        <v>100.66201550898879</v>
      </c>
      <c r="U231">
        <f t="shared" si="45"/>
        <v>0</v>
      </c>
      <c r="V231">
        <f t="shared" si="45"/>
        <v>0</v>
      </c>
      <c r="W231">
        <f t="shared" si="45"/>
        <v>0</v>
      </c>
      <c r="X231">
        <f t="shared" si="45"/>
        <v>0</v>
      </c>
      <c r="Y231">
        <f t="shared" si="45"/>
        <v>0</v>
      </c>
      <c r="Z231">
        <f t="shared" si="45"/>
        <v>0.99269222844594862</v>
      </c>
      <c r="AA231">
        <f t="shared" si="45"/>
        <v>0.96871649518999625</v>
      </c>
      <c r="AB231">
        <f t="shared" si="45"/>
        <v>0.94531982941204795</v>
      </c>
      <c r="AC231">
        <f t="shared" si="45"/>
        <v>0.9224882453398856</v>
      </c>
      <c r="AD231">
        <f t="shared" si="45"/>
        <v>0.90020809498891008</v>
      </c>
    </row>
    <row r="232" spans="2:30">
      <c r="B232">
        <v>2.8624999999999998</v>
      </c>
      <c r="D232">
        <f t="shared" si="47"/>
        <v>0</v>
      </c>
      <c r="E232">
        <f t="shared" si="46"/>
        <v>0</v>
      </c>
      <c r="F232">
        <f t="shared" si="46"/>
        <v>0</v>
      </c>
      <c r="G232">
        <f t="shared" si="46"/>
        <v>0</v>
      </c>
      <c r="H232">
        <f t="shared" si="46"/>
        <v>0</v>
      </c>
      <c r="I232">
        <f t="shared" si="46"/>
        <v>2.25</v>
      </c>
      <c r="J232">
        <f t="shared" si="46"/>
        <v>2.25</v>
      </c>
      <c r="K232">
        <f t="shared" si="46"/>
        <v>2.25</v>
      </c>
      <c r="L232">
        <f t="shared" si="46"/>
        <v>2.25</v>
      </c>
      <c r="M232">
        <f t="shared" si="40"/>
        <v>102.25</v>
      </c>
      <c r="P232">
        <f t="shared" si="41"/>
        <v>2.8624999999999998</v>
      </c>
      <c r="Q232">
        <v>0.72499999999999998</v>
      </c>
      <c r="R232">
        <f t="shared" si="42"/>
        <v>99.092310651937666</v>
      </c>
      <c r="S232">
        <f t="shared" si="43"/>
        <v>1.6312499999999999</v>
      </c>
      <c r="T232">
        <f t="shared" si="38"/>
        <v>100.72356065193766</v>
      </c>
      <c r="U232">
        <f t="shared" si="45"/>
        <v>0</v>
      </c>
      <c r="V232">
        <f t="shared" si="45"/>
        <v>0</v>
      </c>
      <c r="W232">
        <f t="shared" si="45"/>
        <v>0</v>
      </c>
      <c r="X232">
        <f t="shared" si="45"/>
        <v>0</v>
      </c>
      <c r="Y232">
        <f t="shared" si="45"/>
        <v>0</v>
      </c>
      <c r="Z232">
        <f t="shared" si="45"/>
        <v>0.9932991642875868</v>
      </c>
      <c r="AA232">
        <f t="shared" si="45"/>
        <v>0.96930877217622513</v>
      </c>
      <c r="AB232">
        <f t="shared" si="45"/>
        <v>0.94589780158694814</v>
      </c>
      <c r="AC232">
        <f t="shared" si="45"/>
        <v>0.92305225819658276</v>
      </c>
      <c r="AD232">
        <f t="shared" si="45"/>
        <v>0.90075848567609917</v>
      </c>
    </row>
    <row r="233" spans="2:30">
      <c r="B233">
        <v>2.875</v>
      </c>
      <c r="D233">
        <f t="shared" si="47"/>
        <v>0</v>
      </c>
      <c r="E233">
        <f t="shared" si="46"/>
        <v>0</v>
      </c>
      <c r="F233">
        <f t="shared" si="46"/>
        <v>0</v>
      </c>
      <c r="G233">
        <f t="shared" si="46"/>
        <v>0</v>
      </c>
      <c r="H233">
        <f t="shared" si="46"/>
        <v>0</v>
      </c>
      <c r="I233">
        <f t="shared" si="46"/>
        <v>2.25</v>
      </c>
      <c r="J233">
        <f t="shared" si="46"/>
        <v>2.25</v>
      </c>
      <c r="K233">
        <f t="shared" si="46"/>
        <v>2.25</v>
      </c>
      <c r="L233">
        <f t="shared" si="46"/>
        <v>2.25</v>
      </c>
      <c r="M233">
        <f t="shared" si="40"/>
        <v>102.25</v>
      </c>
      <c r="P233">
        <f t="shared" si="41"/>
        <v>2.875</v>
      </c>
      <c r="Q233">
        <v>0.75</v>
      </c>
      <c r="R233">
        <f t="shared" si="42"/>
        <v>99.097643423823357</v>
      </c>
      <c r="S233">
        <f t="shared" si="43"/>
        <v>1.6875</v>
      </c>
      <c r="T233">
        <f t="shared" si="38"/>
        <v>100.78514342382336</v>
      </c>
      <c r="U233">
        <f t="shared" si="45"/>
        <v>0</v>
      </c>
      <c r="V233">
        <f t="shared" si="45"/>
        <v>0</v>
      </c>
      <c r="W233">
        <f t="shared" si="45"/>
        <v>0</v>
      </c>
      <c r="X233">
        <f t="shared" si="45"/>
        <v>0</v>
      </c>
      <c r="Y233">
        <f t="shared" si="45"/>
        <v>0</v>
      </c>
      <c r="Z233">
        <f t="shared" si="45"/>
        <v>0.99390647121212994</v>
      </c>
      <c r="AA233">
        <f t="shared" si="45"/>
        <v>0.96990141128287866</v>
      </c>
      <c r="AB233">
        <f t="shared" si="45"/>
        <v>0.94647612713625628</v>
      </c>
      <c r="AC233">
        <f t="shared" si="45"/>
        <v>0.92361661589290689</v>
      </c>
      <c r="AD233">
        <f t="shared" si="45"/>
        <v>0.90130921287426868</v>
      </c>
    </row>
    <row r="234" spans="2:30">
      <c r="B234">
        <v>2.8875000000000002</v>
      </c>
      <c r="D234">
        <f t="shared" si="47"/>
        <v>0</v>
      </c>
      <c r="E234">
        <f t="shared" si="46"/>
        <v>0</v>
      </c>
      <c r="F234">
        <f t="shared" si="46"/>
        <v>0</v>
      </c>
      <c r="G234">
        <f t="shared" si="46"/>
        <v>0</v>
      </c>
      <c r="H234">
        <f t="shared" si="46"/>
        <v>0</v>
      </c>
      <c r="I234">
        <f t="shared" si="46"/>
        <v>2.25</v>
      </c>
      <c r="J234">
        <f t="shared" si="46"/>
        <v>2.25</v>
      </c>
      <c r="K234">
        <f t="shared" si="46"/>
        <v>2.25</v>
      </c>
      <c r="L234">
        <f t="shared" si="46"/>
        <v>2.25</v>
      </c>
      <c r="M234">
        <f t="shared" si="40"/>
        <v>102.25</v>
      </c>
      <c r="P234">
        <f t="shared" si="41"/>
        <v>2.8875000000000002</v>
      </c>
      <c r="Q234">
        <v>0.77500000000000002</v>
      </c>
      <c r="R234">
        <f t="shared" si="42"/>
        <v>99.103013847652335</v>
      </c>
      <c r="S234">
        <f t="shared" si="43"/>
        <v>1.7437500000000001</v>
      </c>
      <c r="T234">
        <f t="shared" si="38"/>
        <v>100.84676384765234</v>
      </c>
      <c r="U234">
        <f t="shared" si="45"/>
        <v>0</v>
      </c>
      <c r="V234">
        <f t="shared" si="45"/>
        <v>0</v>
      </c>
      <c r="W234">
        <f t="shared" si="45"/>
        <v>0</v>
      </c>
      <c r="X234">
        <f t="shared" si="45"/>
        <v>0</v>
      </c>
      <c r="Y234">
        <f t="shared" si="45"/>
        <v>0</v>
      </c>
      <c r="Z234">
        <f t="shared" si="45"/>
        <v>0.99451414944645966</v>
      </c>
      <c r="AA234">
        <f t="shared" si="45"/>
        <v>0.9704944127313585</v>
      </c>
      <c r="AB234">
        <f t="shared" si="45"/>
        <v>0.94705480627602689</v>
      </c>
      <c r="AC234">
        <f t="shared" si="45"/>
        <v>0.92418131863969444</v>
      </c>
      <c r="AD234">
        <f t="shared" si="45"/>
        <v>0.90186027678916258</v>
      </c>
    </row>
    <row r="235" spans="2:30">
      <c r="B235">
        <v>2.9</v>
      </c>
      <c r="D235">
        <f t="shared" si="47"/>
        <v>0</v>
      </c>
      <c r="E235">
        <f t="shared" si="46"/>
        <v>0</v>
      </c>
      <c r="F235">
        <f t="shared" si="46"/>
        <v>0</v>
      </c>
      <c r="G235">
        <f t="shared" si="46"/>
        <v>0</v>
      </c>
      <c r="H235">
        <f t="shared" si="46"/>
        <v>0</v>
      </c>
      <c r="I235">
        <f t="shared" si="46"/>
        <v>2.25</v>
      </c>
      <c r="J235">
        <f t="shared" si="46"/>
        <v>2.25</v>
      </c>
      <c r="K235">
        <f t="shared" si="46"/>
        <v>2.25</v>
      </c>
      <c r="L235">
        <f t="shared" si="46"/>
        <v>2.25</v>
      </c>
      <c r="M235">
        <f t="shared" si="40"/>
        <v>102.25</v>
      </c>
      <c r="P235">
        <f t="shared" si="41"/>
        <v>2.9</v>
      </c>
      <c r="Q235">
        <v>0.8</v>
      </c>
      <c r="R235">
        <f t="shared" si="42"/>
        <v>99.108421946445148</v>
      </c>
      <c r="S235">
        <f t="shared" si="43"/>
        <v>1.8</v>
      </c>
      <c r="T235">
        <f t="shared" si="38"/>
        <v>100.90842194644515</v>
      </c>
      <c r="U235">
        <f t="shared" si="45"/>
        <v>0</v>
      </c>
      <c r="V235">
        <f t="shared" si="45"/>
        <v>0</v>
      </c>
      <c r="W235">
        <f t="shared" si="45"/>
        <v>0</v>
      </c>
      <c r="X235">
        <f t="shared" si="45"/>
        <v>0</v>
      </c>
      <c r="Y235">
        <f t="shared" si="45"/>
        <v>0</v>
      </c>
      <c r="Z235">
        <f t="shared" si="45"/>
        <v>0.99512219921759615</v>
      </c>
      <c r="AA235">
        <f t="shared" si="45"/>
        <v>0.9710877767432019</v>
      </c>
      <c r="AB235">
        <f t="shared" si="45"/>
        <v>0.94763383922244637</v>
      </c>
      <c r="AC235">
        <f t="shared" si="45"/>
        <v>0.92474636664791043</v>
      </c>
      <c r="AD235">
        <f t="shared" si="45"/>
        <v>0.90241167762665087</v>
      </c>
    </row>
    <row r="236" spans="2:30">
      <c r="B236">
        <v>2.9125000000000001</v>
      </c>
      <c r="D236">
        <f t="shared" si="47"/>
        <v>0</v>
      </c>
      <c r="E236">
        <f t="shared" si="46"/>
        <v>0</v>
      </c>
      <c r="F236">
        <f t="shared" si="46"/>
        <v>0</v>
      </c>
      <c r="G236">
        <f t="shared" si="46"/>
        <v>0</v>
      </c>
      <c r="H236">
        <f t="shared" si="46"/>
        <v>0</v>
      </c>
      <c r="I236">
        <f t="shared" si="46"/>
        <v>2.25</v>
      </c>
      <c r="J236">
        <f t="shared" si="46"/>
        <v>2.25</v>
      </c>
      <c r="K236">
        <f t="shared" si="46"/>
        <v>2.25</v>
      </c>
      <c r="L236">
        <f t="shared" si="46"/>
        <v>2.25</v>
      </c>
      <c r="M236">
        <f t="shared" si="40"/>
        <v>102.25</v>
      </c>
      <c r="P236">
        <f t="shared" si="41"/>
        <v>2.9125000000000001</v>
      </c>
      <c r="Q236">
        <v>0.82499999999999996</v>
      </c>
      <c r="R236">
        <f t="shared" si="42"/>
        <v>99.113867743236398</v>
      </c>
      <c r="S236">
        <f t="shared" si="43"/>
        <v>1.85625</v>
      </c>
      <c r="T236">
        <f t="shared" si="38"/>
        <v>100.9701177432364</v>
      </c>
      <c r="U236">
        <f t="shared" si="45"/>
        <v>0</v>
      </c>
      <c r="V236">
        <f t="shared" si="45"/>
        <v>0</v>
      </c>
      <c r="W236">
        <f t="shared" si="45"/>
        <v>0</v>
      </c>
      <c r="X236">
        <f t="shared" si="45"/>
        <v>0</v>
      </c>
      <c r="Y236">
        <f t="shared" si="45"/>
        <v>0</v>
      </c>
      <c r="Z236">
        <f t="shared" si="45"/>
        <v>0.99573062075269825</v>
      </c>
      <c r="AA236">
        <f t="shared" si="45"/>
        <v>0.97168150354008131</v>
      </c>
      <c r="AB236">
        <f t="shared" si="45"/>
        <v>0.94821322619183335</v>
      </c>
      <c r="AC236">
        <f t="shared" si="45"/>
        <v>0.92531176012864924</v>
      </c>
      <c r="AD236">
        <f t="shared" si="45"/>
        <v>0.90296341559272919</v>
      </c>
    </row>
    <row r="237" spans="2:30">
      <c r="B237">
        <v>2.9249999999999998</v>
      </c>
      <c r="D237">
        <f t="shared" si="47"/>
        <v>0</v>
      </c>
      <c r="E237">
        <f t="shared" si="46"/>
        <v>0</v>
      </c>
      <c r="F237">
        <f t="shared" si="46"/>
        <v>0</v>
      </c>
      <c r="G237">
        <f t="shared" si="46"/>
        <v>0</v>
      </c>
      <c r="H237">
        <f t="shared" si="46"/>
        <v>0</v>
      </c>
      <c r="I237">
        <f t="shared" si="46"/>
        <v>2.25</v>
      </c>
      <c r="J237">
        <f t="shared" si="46"/>
        <v>2.25</v>
      </c>
      <c r="K237">
        <f t="shared" si="46"/>
        <v>2.25</v>
      </c>
      <c r="L237">
        <f t="shared" si="46"/>
        <v>2.25</v>
      </c>
      <c r="M237">
        <f t="shared" si="40"/>
        <v>102.25</v>
      </c>
      <c r="P237">
        <f t="shared" si="41"/>
        <v>2.9249999999999998</v>
      </c>
      <c r="Q237">
        <v>0.85</v>
      </c>
      <c r="R237">
        <f t="shared" si="42"/>
        <v>99.119351261074812</v>
      </c>
      <c r="S237">
        <f t="shared" si="43"/>
        <v>1.9124999999999999</v>
      </c>
      <c r="T237">
        <f t="shared" si="38"/>
        <v>101.03185126107481</v>
      </c>
      <c r="U237">
        <f t="shared" si="45"/>
        <v>0</v>
      </c>
      <c r="V237">
        <f t="shared" si="45"/>
        <v>0</v>
      </c>
      <c r="W237">
        <f t="shared" si="45"/>
        <v>0</v>
      </c>
      <c r="X237">
        <f t="shared" si="45"/>
        <v>0</v>
      </c>
      <c r="Y237">
        <f t="shared" si="45"/>
        <v>0</v>
      </c>
      <c r="Z237">
        <f t="shared" si="45"/>
        <v>0.99633941427906403</v>
      </c>
      <c r="AA237">
        <f t="shared" si="45"/>
        <v>0.97227559334380487</v>
      </c>
      <c r="AB237">
        <f t="shared" si="45"/>
        <v>0.94879296740063901</v>
      </c>
      <c r="AC237">
        <f t="shared" si="45"/>
        <v>0.9258774992931339</v>
      </c>
      <c r="AD237">
        <f t="shared" si="45"/>
        <v>0.90351549089351935</v>
      </c>
    </row>
    <row r="238" spans="2:30">
      <c r="B238">
        <v>2.9375</v>
      </c>
      <c r="D238">
        <f t="shared" si="47"/>
        <v>0</v>
      </c>
      <c r="E238">
        <f t="shared" si="46"/>
        <v>0</v>
      </c>
      <c r="F238">
        <f t="shared" si="46"/>
        <v>0</v>
      </c>
      <c r="G238">
        <f t="shared" si="46"/>
        <v>0</v>
      </c>
      <c r="H238">
        <f t="shared" si="46"/>
        <v>0</v>
      </c>
      <c r="I238">
        <f t="shared" si="46"/>
        <v>2.25</v>
      </c>
      <c r="J238">
        <f t="shared" si="46"/>
        <v>2.25</v>
      </c>
      <c r="K238">
        <f t="shared" si="46"/>
        <v>2.25</v>
      </c>
      <c r="L238">
        <f t="shared" si="46"/>
        <v>2.25</v>
      </c>
      <c r="M238">
        <f t="shared" si="40"/>
        <v>102.25</v>
      </c>
      <c r="P238">
        <f t="shared" si="41"/>
        <v>2.9375</v>
      </c>
      <c r="Q238">
        <v>0.875</v>
      </c>
      <c r="R238">
        <f t="shared" si="42"/>
        <v>99.124872523023129</v>
      </c>
      <c r="S238">
        <f t="shared" si="43"/>
        <v>1.96875</v>
      </c>
      <c r="T238">
        <f t="shared" si="38"/>
        <v>101.09362252302313</v>
      </c>
      <c r="U238">
        <f t="shared" si="45"/>
        <v>0</v>
      </c>
      <c r="V238">
        <f t="shared" si="45"/>
        <v>0</v>
      </c>
      <c r="W238">
        <f t="shared" si="45"/>
        <v>0</v>
      </c>
      <c r="X238">
        <f t="shared" si="45"/>
        <v>0</v>
      </c>
      <c r="Y238">
        <f t="shared" si="45"/>
        <v>0</v>
      </c>
      <c r="Z238">
        <f t="shared" si="45"/>
        <v>0.99694858002413034</v>
      </c>
      <c r="AA238">
        <f t="shared" si="45"/>
        <v>0.97287004637631658</v>
      </c>
      <c r="AB238">
        <f t="shared" si="45"/>
        <v>0.94937306306544678</v>
      </c>
      <c r="AC238">
        <f t="shared" si="45"/>
        <v>0.9264435843527169</v>
      </c>
      <c r="AD238">
        <f t="shared" si="45"/>
        <v>0.90406790373526902</v>
      </c>
    </row>
    <row r="239" spans="2:30">
      <c r="B239">
        <v>2.95</v>
      </c>
      <c r="D239">
        <f t="shared" si="47"/>
        <v>0</v>
      </c>
      <c r="E239">
        <f t="shared" si="46"/>
        <v>0</v>
      </c>
      <c r="F239">
        <f t="shared" si="46"/>
        <v>0</v>
      </c>
      <c r="G239">
        <f t="shared" si="46"/>
        <v>0</v>
      </c>
      <c r="H239">
        <f t="shared" si="46"/>
        <v>0</v>
      </c>
      <c r="I239">
        <f t="shared" si="46"/>
        <v>2.25</v>
      </c>
      <c r="J239">
        <f t="shared" si="46"/>
        <v>2.25</v>
      </c>
      <c r="K239">
        <f t="shared" si="46"/>
        <v>2.25</v>
      </c>
      <c r="L239">
        <f t="shared" si="46"/>
        <v>2.25</v>
      </c>
      <c r="M239">
        <f t="shared" si="40"/>
        <v>102.25</v>
      </c>
      <c r="P239">
        <f t="shared" si="41"/>
        <v>2.95</v>
      </c>
      <c r="Q239">
        <v>0.9</v>
      </c>
      <c r="R239">
        <f t="shared" si="42"/>
        <v>99.130431552158285</v>
      </c>
      <c r="S239">
        <f t="shared" si="43"/>
        <v>2.0249999999999999</v>
      </c>
      <c r="T239">
        <f t="shared" si="38"/>
        <v>101.15543155215829</v>
      </c>
      <c r="U239">
        <f t="shared" si="45"/>
        <v>0</v>
      </c>
      <c r="V239">
        <f t="shared" si="45"/>
        <v>0</v>
      </c>
      <c r="W239">
        <f t="shared" si="45"/>
        <v>0</v>
      </c>
      <c r="X239">
        <f t="shared" si="45"/>
        <v>0</v>
      </c>
      <c r="Y239">
        <f t="shared" si="45"/>
        <v>0</v>
      </c>
      <c r="Z239">
        <f t="shared" si="45"/>
        <v>0.99755811821547324</v>
      </c>
      <c r="AA239">
        <f t="shared" si="45"/>
        <v>0.9734648628596958</v>
      </c>
      <c r="AB239">
        <f t="shared" si="45"/>
        <v>0.94995351340297218</v>
      </c>
      <c r="AC239">
        <f t="shared" si="45"/>
        <v>0.92701001551887985</v>
      </c>
      <c r="AD239">
        <f t="shared" si="45"/>
        <v>0.90462065432435201</v>
      </c>
    </row>
    <row r="240" spans="2:30">
      <c r="B240">
        <v>2.9624999999999999</v>
      </c>
      <c r="D240">
        <f t="shared" si="47"/>
        <v>0</v>
      </c>
      <c r="E240">
        <f t="shared" si="46"/>
        <v>0</v>
      </c>
      <c r="F240">
        <f t="shared" si="46"/>
        <v>0</v>
      </c>
      <c r="G240">
        <f t="shared" si="46"/>
        <v>0</v>
      </c>
      <c r="H240">
        <f t="shared" si="46"/>
        <v>0</v>
      </c>
      <c r="I240">
        <f t="shared" si="46"/>
        <v>2.25</v>
      </c>
      <c r="J240">
        <f t="shared" si="46"/>
        <v>2.25</v>
      </c>
      <c r="K240">
        <f t="shared" si="46"/>
        <v>2.25</v>
      </c>
      <c r="L240">
        <f t="shared" si="46"/>
        <v>2.25</v>
      </c>
      <c r="M240">
        <f t="shared" si="40"/>
        <v>102.25</v>
      </c>
      <c r="P240">
        <f t="shared" si="41"/>
        <v>2.9624999999999999</v>
      </c>
      <c r="Q240">
        <v>0.92500000000000004</v>
      </c>
      <c r="R240">
        <f t="shared" si="42"/>
        <v>99.1360283715713</v>
      </c>
      <c r="S240">
        <f t="shared" si="43"/>
        <v>2.0812500000000003</v>
      </c>
      <c r="T240">
        <f t="shared" si="38"/>
        <v>101.2172783715713</v>
      </c>
      <c r="U240">
        <f t="shared" si="45"/>
        <v>0</v>
      </c>
      <c r="V240">
        <f t="shared" si="45"/>
        <v>0</v>
      </c>
      <c r="W240">
        <f t="shared" si="45"/>
        <v>0</v>
      </c>
      <c r="X240">
        <f t="shared" si="45"/>
        <v>0</v>
      </c>
      <c r="Y240">
        <f t="shared" si="45"/>
        <v>0</v>
      </c>
      <c r="Z240">
        <f t="shared" si="45"/>
        <v>0.99816802908080771</v>
      </c>
      <c r="AA240">
        <f t="shared" si="45"/>
        <v>0.97406004301615767</v>
      </c>
      <c r="AB240">
        <f t="shared" si="45"/>
        <v>0.95053431863006366</v>
      </c>
      <c r="AC240">
        <f t="shared" si="45"/>
        <v>0.92757679300323359</v>
      </c>
      <c r="AD240">
        <f t="shared" si="45"/>
        <v>0.90517374286726848</v>
      </c>
    </row>
    <row r="241" spans="2:30">
      <c r="B241">
        <v>2.9750000000000001</v>
      </c>
      <c r="D241">
        <f t="shared" si="47"/>
        <v>0</v>
      </c>
      <c r="E241">
        <f t="shared" si="46"/>
        <v>0</v>
      </c>
      <c r="F241">
        <f t="shared" si="46"/>
        <v>0</v>
      </c>
      <c r="G241">
        <f t="shared" si="46"/>
        <v>0</v>
      </c>
      <c r="H241">
        <f t="shared" si="46"/>
        <v>0</v>
      </c>
      <c r="I241">
        <f t="shared" si="46"/>
        <v>2.25</v>
      </c>
      <c r="J241">
        <f t="shared" si="46"/>
        <v>2.25</v>
      </c>
      <c r="K241">
        <f t="shared" si="46"/>
        <v>2.25</v>
      </c>
      <c r="L241">
        <f t="shared" si="46"/>
        <v>2.25</v>
      </c>
      <c r="M241">
        <f t="shared" si="40"/>
        <v>102.25</v>
      </c>
      <c r="P241">
        <f t="shared" si="41"/>
        <v>2.9750000000000001</v>
      </c>
      <c r="Q241">
        <v>0.95</v>
      </c>
      <c r="R241">
        <f t="shared" si="42"/>
        <v>99.14166300436726</v>
      </c>
      <c r="S241">
        <f t="shared" si="43"/>
        <v>2.1374999999999997</v>
      </c>
      <c r="T241">
        <f t="shared" si="38"/>
        <v>101.27916300436726</v>
      </c>
      <c r="U241">
        <f t="shared" si="45"/>
        <v>0</v>
      </c>
      <c r="V241">
        <f t="shared" si="45"/>
        <v>0</v>
      </c>
      <c r="W241">
        <f t="shared" si="45"/>
        <v>0</v>
      </c>
      <c r="X241">
        <f t="shared" si="45"/>
        <v>0</v>
      </c>
      <c r="Y241">
        <f t="shared" si="45"/>
        <v>0</v>
      </c>
      <c r="Z241">
        <f t="shared" si="45"/>
        <v>0.9987783128479879</v>
      </c>
      <c r="AA241">
        <f t="shared" si="45"/>
        <v>0.97465558706805366</v>
      </c>
      <c r="AB241">
        <f t="shared" si="45"/>
        <v>0.95111547896370197</v>
      </c>
      <c r="AC241">
        <f t="shared" si="45"/>
        <v>0.92814391701751819</v>
      </c>
      <c r="AD241">
        <f t="shared" si="45"/>
        <v>0.9057271695706447</v>
      </c>
    </row>
    <row r="242" spans="2:30">
      <c r="B242">
        <v>2.9874999999999998</v>
      </c>
      <c r="D242">
        <f t="shared" si="47"/>
        <v>0</v>
      </c>
      <c r="E242">
        <f t="shared" si="46"/>
        <v>0</v>
      </c>
      <c r="F242">
        <f t="shared" si="46"/>
        <v>0</v>
      </c>
      <c r="G242">
        <f t="shared" si="46"/>
        <v>0</v>
      </c>
      <c r="H242">
        <f t="shared" si="46"/>
        <v>0</v>
      </c>
      <c r="I242">
        <f t="shared" si="46"/>
        <v>2.25</v>
      </c>
      <c r="J242">
        <f t="shared" si="46"/>
        <v>2.25</v>
      </c>
      <c r="K242">
        <f t="shared" si="46"/>
        <v>2.25</v>
      </c>
      <c r="L242">
        <f t="shared" si="46"/>
        <v>2.25</v>
      </c>
      <c r="M242">
        <f t="shared" si="40"/>
        <v>102.25</v>
      </c>
      <c r="P242">
        <f t="shared" si="41"/>
        <v>2.9874999999999998</v>
      </c>
      <c r="Q242">
        <v>0.97499999999999998</v>
      </c>
      <c r="R242">
        <f t="shared" si="42"/>
        <v>99.147335473665436</v>
      </c>
      <c r="S242">
        <f t="shared" si="43"/>
        <v>2.1937500000000001</v>
      </c>
      <c r="T242">
        <f t="shared" si="38"/>
        <v>101.34108547366543</v>
      </c>
      <c r="U242">
        <f t="shared" si="45"/>
        <v>0</v>
      </c>
      <c r="V242">
        <f t="shared" si="45"/>
        <v>0</v>
      </c>
      <c r="W242">
        <f t="shared" si="45"/>
        <v>0</v>
      </c>
      <c r="X242">
        <f t="shared" si="45"/>
        <v>0</v>
      </c>
      <c r="Y242">
        <f t="shared" si="45"/>
        <v>0</v>
      </c>
      <c r="Z242">
        <f t="shared" si="45"/>
        <v>0.99938896974500779</v>
      </c>
      <c r="AA242">
        <f t="shared" si="45"/>
        <v>0.97525149523787025</v>
      </c>
      <c r="AB242">
        <f t="shared" si="45"/>
        <v>0.95169699462100066</v>
      </c>
      <c r="AC242">
        <f t="shared" si="45"/>
        <v>0.92871138777360385</v>
      </c>
      <c r="AD242">
        <f t="shared" si="45"/>
        <v>0.90628093464123316</v>
      </c>
    </row>
    <row r="243" spans="2:30">
      <c r="B243" s="34">
        <v>3</v>
      </c>
      <c r="D243">
        <f t="shared" si="47"/>
        <v>0</v>
      </c>
      <c r="E243">
        <f t="shared" si="46"/>
        <v>0</v>
      </c>
      <c r="F243">
        <f t="shared" si="46"/>
        <v>0</v>
      </c>
      <c r="G243">
        <f t="shared" si="46"/>
        <v>0</v>
      </c>
      <c r="H243">
        <f t="shared" si="46"/>
        <v>0</v>
      </c>
      <c r="I243">
        <f t="shared" si="46"/>
        <v>2.25</v>
      </c>
      <c r="J243">
        <f t="shared" si="46"/>
        <v>2.25</v>
      </c>
      <c r="K243">
        <f t="shared" si="46"/>
        <v>2.25</v>
      </c>
      <c r="L243">
        <f t="shared" si="46"/>
        <v>2.25</v>
      </c>
      <c r="M243">
        <f t="shared" si="40"/>
        <v>102.25</v>
      </c>
      <c r="P243">
        <f t="shared" si="41"/>
        <v>3</v>
      </c>
      <c r="Q243">
        <v>1</v>
      </c>
      <c r="R243">
        <f t="shared" si="42"/>
        <v>99.153045802599195</v>
      </c>
      <c r="S243">
        <f t="shared" si="43"/>
        <v>2.25</v>
      </c>
      <c r="T243">
        <f t="shared" si="38"/>
        <v>101.40304580259919</v>
      </c>
      <c r="U243">
        <f t="shared" ref="U243:AD258" si="48">IF((1/(1+$O$3/2)^((U$2-$P243)*2))&lt;=1,1/(1+$O$3/2)^((U$2-$P243)*2),0)</f>
        <v>0</v>
      </c>
      <c r="V243">
        <f t="shared" si="48"/>
        <v>0</v>
      </c>
      <c r="W243">
        <f t="shared" si="48"/>
        <v>0</v>
      </c>
      <c r="X243">
        <f t="shared" si="48"/>
        <v>0</v>
      </c>
      <c r="Y243">
        <f t="shared" si="48"/>
        <v>0</v>
      </c>
      <c r="Z243">
        <f t="shared" si="48"/>
        <v>1</v>
      </c>
      <c r="AA243">
        <f t="shared" si="48"/>
        <v>0.97584776774823123</v>
      </c>
      <c r="AB243">
        <f t="shared" si="48"/>
        <v>0.95227886581920584</v>
      </c>
      <c r="AC243">
        <f t="shared" si="48"/>
        <v>0.92927920548348952</v>
      </c>
      <c r="AD243">
        <f t="shared" si="48"/>
        <v>0.90683503828591316</v>
      </c>
    </row>
    <row r="244" spans="2:30">
      <c r="B244">
        <v>3.0125000000000002</v>
      </c>
      <c r="D244">
        <f t="shared" si="47"/>
        <v>0</v>
      </c>
      <c r="E244">
        <f t="shared" si="46"/>
        <v>0</v>
      </c>
      <c r="F244">
        <f t="shared" si="46"/>
        <v>0</v>
      </c>
      <c r="G244">
        <f t="shared" si="46"/>
        <v>0</v>
      </c>
      <c r="H244">
        <f t="shared" si="46"/>
        <v>0</v>
      </c>
      <c r="I244">
        <f t="shared" si="46"/>
        <v>0</v>
      </c>
      <c r="J244">
        <f t="shared" si="46"/>
        <v>2.25</v>
      </c>
      <c r="K244">
        <f t="shared" si="46"/>
        <v>2.25</v>
      </c>
      <c r="L244">
        <f t="shared" si="46"/>
        <v>2.25</v>
      </c>
      <c r="M244">
        <f t="shared" si="40"/>
        <v>102.25</v>
      </c>
      <c r="P244">
        <f t="shared" si="41"/>
        <v>3.0125000000000002</v>
      </c>
      <c r="Q244">
        <v>2.5000000000000001E-2</v>
      </c>
      <c r="R244">
        <f t="shared" si="42"/>
        <v>99.157418355673286</v>
      </c>
      <c r="S244">
        <f t="shared" si="43"/>
        <v>5.6250000000000001E-2</v>
      </c>
      <c r="T244">
        <f t="shared" si="38"/>
        <v>99.213668355673292</v>
      </c>
      <c r="U244">
        <f t="shared" si="48"/>
        <v>0</v>
      </c>
      <c r="V244">
        <f t="shared" si="48"/>
        <v>0</v>
      </c>
      <c r="W244">
        <f t="shared" si="48"/>
        <v>0</v>
      </c>
      <c r="X244">
        <f t="shared" si="48"/>
        <v>0</v>
      </c>
      <c r="Y244">
        <f t="shared" si="48"/>
        <v>0</v>
      </c>
      <c r="Z244">
        <f t="shared" si="48"/>
        <v>0</v>
      </c>
      <c r="AA244">
        <f t="shared" si="48"/>
        <v>0.97644440482189543</v>
      </c>
      <c r="AB244">
        <f t="shared" si="48"/>
        <v>0.95286109277569686</v>
      </c>
      <c r="AC244">
        <f t="shared" si="48"/>
        <v>0.92984737035930409</v>
      </c>
      <c r="AD244">
        <f t="shared" si="48"/>
        <v>0.90738948071168968</v>
      </c>
    </row>
    <row r="245" spans="2:30">
      <c r="B245">
        <v>3.0249999999999999</v>
      </c>
      <c r="D245">
        <f t="shared" si="47"/>
        <v>0</v>
      </c>
      <c r="E245">
        <f t="shared" si="46"/>
        <v>0</v>
      </c>
      <c r="F245">
        <f t="shared" si="46"/>
        <v>0</v>
      </c>
      <c r="G245">
        <f t="shared" si="46"/>
        <v>0</v>
      </c>
      <c r="H245">
        <f t="shared" si="46"/>
        <v>0</v>
      </c>
      <c r="I245">
        <f t="shared" si="46"/>
        <v>0</v>
      </c>
      <c r="J245">
        <f t="shared" si="46"/>
        <v>2.25</v>
      </c>
      <c r="K245">
        <f t="shared" si="46"/>
        <v>2.25</v>
      </c>
      <c r="L245">
        <f t="shared" si="46"/>
        <v>2.25</v>
      </c>
      <c r="M245">
        <f t="shared" si="40"/>
        <v>102.25</v>
      </c>
      <c r="P245">
        <f t="shared" si="41"/>
        <v>3.0249999999999999</v>
      </c>
      <c r="Q245">
        <v>0.05</v>
      </c>
      <c r="R245">
        <f t="shared" si="42"/>
        <v>99.161827973609178</v>
      </c>
      <c r="S245">
        <f t="shared" si="43"/>
        <v>0.1125</v>
      </c>
      <c r="T245">
        <f t="shared" si="38"/>
        <v>99.274327973609175</v>
      </c>
      <c r="U245">
        <f t="shared" si="48"/>
        <v>0</v>
      </c>
      <c r="V245">
        <f t="shared" si="48"/>
        <v>0</v>
      </c>
      <c r="W245">
        <f t="shared" si="48"/>
        <v>0</v>
      </c>
      <c r="X245">
        <f t="shared" si="48"/>
        <v>0</v>
      </c>
      <c r="Y245">
        <f t="shared" si="48"/>
        <v>0</v>
      </c>
      <c r="Z245">
        <f t="shared" si="48"/>
        <v>0</v>
      </c>
      <c r="AA245">
        <f t="shared" si="48"/>
        <v>0.9770414066817581</v>
      </c>
      <c r="AB245">
        <f t="shared" si="48"/>
        <v>0.95344367570798538</v>
      </c>
      <c r="AC245">
        <f t="shared" si="48"/>
        <v>0.9304158826133061</v>
      </c>
      <c r="AD245">
        <f t="shared" si="48"/>
        <v>0.90794426212569501</v>
      </c>
    </row>
    <row r="246" spans="2:30">
      <c r="B246">
        <v>3.0375000000000001</v>
      </c>
      <c r="D246">
        <f t="shared" si="47"/>
        <v>0</v>
      </c>
      <c r="E246">
        <f t="shared" si="46"/>
        <v>0</v>
      </c>
      <c r="F246">
        <f t="shared" si="46"/>
        <v>0</v>
      </c>
      <c r="G246">
        <f t="shared" si="46"/>
        <v>0</v>
      </c>
      <c r="H246">
        <f t="shared" si="46"/>
        <v>0</v>
      </c>
      <c r="I246">
        <f t="shared" si="46"/>
        <v>0</v>
      </c>
      <c r="J246">
        <f t="shared" si="46"/>
        <v>2.25</v>
      </c>
      <c r="K246">
        <f t="shared" si="46"/>
        <v>2.25</v>
      </c>
      <c r="L246">
        <f t="shared" si="46"/>
        <v>2.25</v>
      </c>
      <c r="M246">
        <f t="shared" si="40"/>
        <v>102.25</v>
      </c>
      <c r="P246">
        <f t="shared" si="41"/>
        <v>3.0375000000000001</v>
      </c>
      <c r="Q246">
        <v>7.4999999999999997E-2</v>
      </c>
      <c r="R246">
        <f t="shared" si="42"/>
        <v>99.166274679068493</v>
      </c>
      <c r="S246">
        <f t="shared" si="43"/>
        <v>0.16874999999999998</v>
      </c>
      <c r="T246">
        <f t="shared" si="38"/>
        <v>99.335024679068496</v>
      </c>
      <c r="U246">
        <f t="shared" si="48"/>
        <v>0</v>
      </c>
      <c r="V246">
        <f t="shared" si="48"/>
        <v>0</v>
      </c>
      <c r="W246">
        <f t="shared" si="48"/>
        <v>0</v>
      </c>
      <c r="X246">
        <f t="shared" si="48"/>
        <v>0</v>
      </c>
      <c r="Y246">
        <f t="shared" si="48"/>
        <v>0</v>
      </c>
      <c r="Z246">
        <f t="shared" si="48"/>
        <v>0</v>
      </c>
      <c r="AA246">
        <f t="shared" si="48"/>
        <v>0.97763877355085138</v>
      </c>
      <c r="AB246">
        <f t="shared" si="48"/>
        <v>0.95402661483371676</v>
      </c>
      <c r="AC246">
        <f t="shared" si="48"/>
        <v>0.9309847424578841</v>
      </c>
      <c r="AD246">
        <f t="shared" si="48"/>
        <v>0.90849938273518804</v>
      </c>
    </row>
    <row r="247" spans="2:30">
      <c r="B247">
        <v>3.05</v>
      </c>
      <c r="D247">
        <f t="shared" si="47"/>
        <v>0</v>
      </c>
      <c r="E247">
        <f t="shared" si="46"/>
        <v>0</v>
      </c>
      <c r="F247">
        <f t="shared" si="46"/>
        <v>0</v>
      </c>
      <c r="G247">
        <f t="shared" si="46"/>
        <v>0</v>
      </c>
      <c r="H247">
        <f t="shared" si="46"/>
        <v>0</v>
      </c>
      <c r="I247">
        <f t="shared" si="46"/>
        <v>0</v>
      </c>
      <c r="J247">
        <f t="shared" si="46"/>
        <v>2.25</v>
      </c>
      <c r="K247">
        <f t="shared" si="46"/>
        <v>2.25</v>
      </c>
      <c r="L247">
        <f t="shared" si="46"/>
        <v>2.25</v>
      </c>
      <c r="M247">
        <f t="shared" si="40"/>
        <v>102.25</v>
      </c>
      <c r="P247">
        <f t="shared" si="41"/>
        <v>3.05</v>
      </c>
      <c r="Q247">
        <v>0.1</v>
      </c>
      <c r="R247">
        <f t="shared" si="42"/>
        <v>99.170758494726684</v>
      </c>
      <c r="S247">
        <f t="shared" si="43"/>
        <v>0.22500000000000001</v>
      </c>
      <c r="T247">
        <f t="shared" si="38"/>
        <v>99.395758494726678</v>
      </c>
      <c r="U247">
        <f t="shared" si="48"/>
        <v>0</v>
      </c>
      <c r="V247">
        <f t="shared" si="48"/>
        <v>0</v>
      </c>
      <c r="W247">
        <f t="shared" si="48"/>
        <v>0</v>
      </c>
      <c r="X247">
        <f t="shared" si="48"/>
        <v>0</v>
      </c>
      <c r="Y247">
        <f t="shared" si="48"/>
        <v>0</v>
      </c>
      <c r="Z247">
        <f t="shared" si="48"/>
        <v>0</v>
      </c>
      <c r="AA247">
        <f t="shared" si="48"/>
        <v>0.97823650565234266</v>
      </c>
      <c r="AB247">
        <f t="shared" si="48"/>
        <v>0.95460991037066867</v>
      </c>
      <c r="AC247">
        <f t="shared" si="48"/>
        <v>0.93155395010555608</v>
      </c>
      <c r="AD247">
        <f t="shared" si="48"/>
        <v>0.90905484274755399</v>
      </c>
    </row>
    <row r="248" spans="2:30">
      <c r="B248">
        <v>3.0625</v>
      </c>
      <c r="D248">
        <f t="shared" si="47"/>
        <v>0</v>
      </c>
      <c r="E248">
        <f t="shared" si="46"/>
        <v>0</v>
      </c>
      <c r="F248">
        <f t="shared" si="46"/>
        <v>0</v>
      </c>
      <c r="G248">
        <f t="shared" si="46"/>
        <v>0</v>
      </c>
      <c r="H248">
        <f t="shared" si="46"/>
        <v>0</v>
      </c>
      <c r="I248">
        <f t="shared" si="46"/>
        <v>0</v>
      </c>
      <c r="J248">
        <f t="shared" si="46"/>
        <v>2.25</v>
      </c>
      <c r="K248">
        <f t="shared" si="46"/>
        <v>2.25</v>
      </c>
      <c r="L248">
        <f t="shared" si="46"/>
        <v>2.25</v>
      </c>
      <c r="M248">
        <f t="shared" si="40"/>
        <v>102.25</v>
      </c>
      <c r="P248">
        <f t="shared" si="41"/>
        <v>3.0625</v>
      </c>
      <c r="Q248">
        <v>0.125</v>
      </c>
      <c r="R248">
        <f t="shared" si="42"/>
        <v>99.17527944327307</v>
      </c>
      <c r="S248">
        <f t="shared" si="43"/>
        <v>0.28125</v>
      </c>
      <c r="T248">
        <f t="shared" si="38"/>
        <v>99.45652944327307</v>
      </c>
      <c r="U248">
        <f t="shared" si="48"/>
        <v>0</v>
      </c>
      <c r="V248">
        <f t="shared" si="48"/>
        <v>0</v>
      </c>
      <c r="W248">
        <f t="shared" si="48"/>
        <v>0</v>
      </c>
      <c r="X248">
        <f t="shared" si="48"/>
        <v>0</v>
      </c>
      <c r="Y248">
        <f t="shared" si="48"/>
        <v>0</v>
      </c>
      <c r="Z248">
        <f t="shared" si="48"/>
        <v>0</v>
      </c>
      <c r="AA248">
        <f t="shared" si="48"/>
        <v>0.97883460320953708</v>
      </c>
      <c r="AB248">
        <f t="shared" si="48"/>
        <v>0.95519356253675247</v>
      </c>
      <c r="AC248">
        <f t="shared" si="48"/>
        <v>0.93212350576897052</v>
      </c>
      <c r="AD248">
        <f t="shared" si="48"/>
        <v>0.90961064237030542</v>
      </c>
    </row>
    <row r="249" spans="2:30">
      <c r="B249">
        <v>3.0750000000000002</v>
      </c>
      <c r="D249">
        <f t="shared" si="47"/>
        <v>0</v>
      </c>
      <c r="E249">
        <f t="shared" si="46"/>
        <v>0</v>
      </c>
      <c r="F249">
        <f t="shared" si="46"/>
        <v>0</v>
      </c>
      <c r="G249">
        <f t="shared" si="46"/>
        <v>0</v>
      </c>
      <c r="H249">
        <f t="shared" si="46"/>
        <v>0</v>
      </c>
      <c r="I249">
        <f t="shared" si="46"/>
        <v>0</v>
      </c>
      <c r="J249">
        <f t="shared" si="46"/>
        <v>2.25</v>
      </c>
      <c r="K249">
        <f t="shared" si="46"/>
        <v>2.25</v>
      </c>
      <c r="L249">
        <f t="shared" si="46"/>
        <v>2.25</v>
      </c>
      <c r="M249">
        <f t="shared" si="40"/>
        <v>102.25</v>
      </c>
      <c r="P249">
        <f t="shared" si="41"/>
        <v>3.0750000000000002</v>
      </c>
      <c r="Q249">
        <v>0.15</v>
      </c>
      <c r="R249">
        <f t="shared" si="42"/>
        <v>99.179837547410784</v>
      </c>
      <c r="S249">
        <f t="shared" si="43"/>
        <v>0.33749999999999997</v>
      </c>
      <c r="T249">
        <f t="shared" si="38"/>
        <v>99.51733754741079</v>
      </c>
      <c r="U249">
        <f t="shared" si="48"/>
        <v>0</v>
      </c>
      <c r="V249">
        <f t="shared" si="48"/>
        <v>0</v>
      </c>
      <c r="W249">
        <f t="shared" si="48"/>
        <v>0</v>
      </c>
      <c r="X249">
        <f t="shared" si="48"/>
        <v>0</v>
      </c>
      <c r="Y249">
        <f t="shared" si="48"/>
        <v>0</v>
      </c>
      <c r="Z249">
        <f t="shared" si="48"/>
        <v>0</v>
      </c>
      <c r="AA249">
        <f t="shared" si="48"/>
        <v>0.97943306644587558</v>
      </c>
      <c r="AB249">
        <f t="shared" si="48"/>
        <v>0.95577757155001264</v>
      </c>
      <c r="AC249">
        <f t="shared" si="48"/>
        <v>0.93269340966090508</v>
      </c>
      <c r="AD249">
        <f t="shared" si="48"/>
        <v>0.91016678181108079</v>
      </c>
    </row>
    <row r="250" spans="2:30">
      <c r="B250">
        <v>3.0874999999999999</v>
      </c>
      <c r="D250">
        <f t="shared" si="47"/>
        <v>0</v>
      </c>
      <c r="E250">
        <f t="shared" si="46"/>
        <v>0</v>
      </c>
      <c r="F250">
        <f t="shared" si="46"/>
        <v>0</v>
      </c>
      <c r="G250">
        <f t="shared" si="46"/>
        <v>0</v>
      </c>
      <c r="H250">
        <f t="shared" si="46"/>
        <v>0</v>
      </c>
      <c r="I250">
        <f t="shared" si="46"/>
        <v>0</v>
      </c>
      <c r="J250">
        <f t="shared" si="46"/>
        <v>2.25</v>
      </c>
      <c r="K250">
        <f t="shared" si="46"/>
        <v>2.25</v>
      </c>
      <c r="L250">
        <f t="shared" si="46"/>
        <v>2.25</v>
      </c>
      <c r="M250">
        <f t="shared" si="40"/>
        <v>102.25</v>
      </c>
      <c r="P250">
        <f t="shared" si="41"/>
        <v>3.0874999999999999</v>
      </c>
      <c r="Q250">
        <v>0.17499999999999999</v>
      </c>
      <c r="R250">
        <f t="shared" si="42"/>
        <v>99.184432829857002</v>
      </c>
      <c r="S250">
        <f t="shared" si="43"/>
        <v>0.39374999999999999</v>
      </c>
      <c r="T250">
        <f t="shared" si="38"/>
        <v>99.578182829856999</v>
      </c>
      <c r="U250">
        <f t="shared" si="48"/>
        <v>0</v>
      </c>
      <c r="V250">
        <f t="shared" si="48"/>
        <v>0</v>
      </c>
      <c r="W250">
        <f t="shared" si="48"/>
        <v>0</v>
      </c>
      <c r="X250">
        <f t="shared" si="48"/>
        <v>0</v>
      </c>
      <c r="Y250">
        <f t="shared" si="48"/>
        <v>0</v>
      </c>
      <c r="Z250">
        <f t="shared" si="48"/>
        <v>0</v>
      </c>
      <c r="AA250">
        <f t="shared" si="48"/>
        <v>0.98003189558493531</v>
      </c>
      <c r="AB250">
        <f t="shared" si="48"/>
        <v>0.95636193762862676</v>
      </c>
      <c r="AC250">
        <f t="shared" si="48"/>
        <v>0.93326366199426847</v>
      </c>
      <c r="AD250">
        <f t="shared" si="48"/>
        <v>0.91072326127764669</v>
      </c>
    </row>
    <row r="251" spans="2:30">
      <c r="B251">
        <v>3.1</v>
      </c>
      <c r="D251">
        <f t="shared" si="47"/>
        <v>0</v>
      </c>
      <c r="E251">
        <f t="shared" si="46"/>
        <v>0</v>
      </c>
      <c r="F251">
        <f t="shared" si="46"/>
        <v>0</v>
      </c>
      <c r="G251">
        <f t="shared" si="46"/>
        <v>0</v>
      </c>
      <c r="H251">
        <f t="shared" si="46"/>
        <v>0</v>
      </c>
      <c r="I251">
        <f t="shared" si="46"/>
        <v>0</v>
      </c>
      <c r="J251">
        <f t="shared" si="46"/>
        <v>2.25</v>
      </c>
      <c r="K251">
        <f t="shared" si="46"/>
        <v>2.25</v>
      </c>
      <c r="L251">
        <f t="shared" si="46"/>
        <v>2.25</v>
      </c>
      <c r="M251">
        <f t="shared" si="40"/>
        <v>102.25</v>
      </c>
      <c r="P251">
        <f t="shared" si="41"/>
        <v>3.1</v>
      </c>
      <c r="Q251">
        <v>0.2</v>
      </c>
      <c r="R251">
        <f t="shared" si="42"/>
        <v>99.189065313342596</v>
      </c>
      <c r="S251">
        <f t="shared" si="43"/>
        <v>0.45</v>
      </c>
      <c r="T251">
        <f t="shared" si="38"/>
        <v>99.639065313342599</v>
      </c>
      <c r="U251">
        <f t="shared" si="48"/>
        <v>0</v>
      </c>
      <c r="V251">
        <f t="shared" si="48"/>
        <v>0</v>
      </c>
      <c r="W251">
        <f t="shared" si="48"/>
        <v>0</v>
      </c>
      <c r="X251">
        <f t="shared" si="48"/>
        <v>0</v>
      </c>
      <c r="Y251">
        <f t="shared" si="48"/>
        <v>0</v>
      </c>
      <c r="Z251">
        <f t="shared" si="48"/>
        <v>0</v>
      </c>
      <c r="AA251">
        <f t="shared" si="48"/>
        <v>0.98063109085043088</v>
      </c>
      <c r="AB251">
        <f t="shared" si="48"/>
        <v>0.95694666099090597</v>
      </c>
      <c r="AC251">
        <f t="shared" si="48"/>
        <v>0.93383426298209904</v>
      </c>
      <c r="AD251">
        <f t="shared" si="48"/>
        <v>0.91128008097789603</v>
      </c>
    </row>
    <row r="252" spans="2:30">
      <c r="B252">
        <v>3.1124999999999998</v>
      </c>
      <c r="D252">
        <f t="shared" si="47"/>
        <v>0</v>
      </c>
      <c r="E252">
        <f t="shared" si="46"/>
        <v>0</v>
      </c>
      <c r="F252">
        <f t="shared" si="46"/>
        <v>0</v>
      </c>
      <c r="G252">
        <f t="shared" si="46"/>
        <v>0</v>
      </c>
      <c r="H252">
        <f t="shared" si="46"/>
        <v>0</v>
      </c>
      <c r="I252">
        <f t="shared" si="46"/>
        <v>0</v>
      </c>
      <c r="J252">
        <f t="shared" si="46"/>
        <v>2.25</v>
      </c>
      <c r="K252">
        <f t="shared" si="46"/>
        <v>2.25</v>
      </c>
      <c r="L252">
        <f t="shared" si="46"/>
        <v>2.25</v>
      </c>
      <c r="M252">
        <f t="shared" si="40"/>
        <v>102.25</v>
      </c>
      <c r="P252">
        <f t="shared" si="41"/>
        <v>3.1124999999999998</v>
      </c>
      <c r="Q252">
        <v>0.22500000000000001</v>
      </c>
      <c r="R252">
        <f t="shared" si="42"/>
        <v>99.193735020612479</v>
      </c>
      <c r="S252">
        <f t="shared" si="43"/>
        <v>0.50624999999999998</v>
      </c>
      <c r="T252">
        <f t="shared" si="38"/>
        <v>99.699985020612473</v>
      </c>
      <c r="U252">
        <f t="shared" si="48"/>
        <v>0</v>
      </c>
      <c r="V252">
        <f t="shared" si="48"/>
        <v>0</v>
      </c>
      <c r="W252">
        <f t="shared" si="48"/>
        <v>0</v>
      </c>
      <c r="X252">
        <f t="shared" si="48"/>
        <v>0</v>
      </c>
      <c r="Y252">
        <f t="shared" si="48"/>
        <v>0</v>
      </c>
      <c r="Z252">
        <f t="shared" si="48"/>
        <v>0</v>
      </c>
      <c r="AA252">
        <f t="shared" si="48"/>
        <v>0.98123065246621366</v>
      </c>
      <c r="AB252">
        <f t="shared" si="48"/>
        <v>0.95753174185529499</v>
      </c>
      <c r="AC252">
        <f t="shared" si="48"/>
        <v>0.93440521283756517</v>
      </c>
      <c r="AD252">
        <f t="shared" si="48"/>
        <v>0.91183724111984898</v>
      </c>
    </row>
    <row r="253" spans="2:30">
      <c r="B253">
        <v>3.125</v>
      </c>
      <c r="D253">
        <f t="shared" si="47"/>
        <v>0</v>
      </c>
      <c r="E253">
        <f t="shared" si="46"/>
        <v>0</v>
      </c>
      <c r="F253">
        <f t="shared" si="46"/>
        <v>0</v>
      </c>
      <c r="G253">
        <f t="shared" si="46"/>
        <v>0</v>
      </c>
      <c r="H253">
        <f t="shared" si="46"/>
        <v>0</v>
      </c>
      <c r="I253">
        <f t="shared" si="46"/>
        <v>0</v>
      </c>
      <c r="J253">
        <f t="shared" si="46"/>
        <v>2.25</v>
      </c>
      <c r="K253">
        <f t="shared" si="46"/>
        <v>2.25</v>
      </c>
      <c r="L253">
        <f t="shared" si="46"/>
        <v>2.25</v>
      </c>
      <c r="M253">
        <f t="shared" si="40"/>
        <v>102.25</v>
      </c>
      <c r="P253">
        <f t="shared" si="41"/>
        <v>3.125</v>
      </c>
      <c r="Q253">
        <v>0.25</v>
      </c>
      <c r="R253">
        <f t="shared" si="42"/>
        <v>99.198441974425364</v>
      </c>
      <c r="S253">
        <f t="shared" si="43"/>
        <v>0.5625</v>
      </c>
      <c r="T253">
        <f t="shared" si="38"/>
        <v>99.760941974425364</v>
      </c>
      <c r="U253">
        <f t="shared" si="48"/>
        <v>0</v>
      </c>
      <c r="V253">
        <f t="shared" si="48"/>
        <v>0</v>
      </c>
      <c r="W253">
        <f t="shared" si="48"/>
        <v>0</v>
      </c>
      <c r="X253">
        <f t="shared" si="48"/>
        <v>0</v>
      </c>
      <c r="Y253">
        <f t="shared" si="48"/>
        <v>0</v>
      </c>
      <c r="Z253">
        <f t="shared" si="48"/>
        <v>0</v>
      </c>
      <c r="AA253">
        <f t="shared" si="48"/>
        <v>0.98183058065627116</v>
      </c>
      <c r="AB253">
        <f t="shared" si="48"/>
        <v>0.95811718044037208</v>
      </c>
      <c r="AC253">
        <f t="shared" si="48"/>
        <v>0.93497651177396635</v>
      </c>
      <c r="AD253">
        <f t="shared" si="48"/>
        <v>0.91239474191165282</v>
      </c>
    </row>
    <row r="254" spans="2:30">
      <c r="B254">
        <v>3.1375000000000002</v>
      </c>
      <c r="D254">
        <f t="shared" si="47"/>
        <v>0</v>
      </c>
      <c r="E254">
        <f t="shared" si="46"/>
        <v>0</v>
      </c>
      <c r="F254">
        <f t="shared" si="46"/>
        <v>0</v>
      </c>
      <c r="G254">
        <f t="shared" si="46"/>
        <v>0</v>
      </c>
      <c r="H254">
        <f t="shared" si="46"/>
        <v>0</v>
      </c>
      <c r="I254">
        <f t="shared" si="46"/>
        <v>0</v>
      </c>
      <c r="J254">
        <f t="shared" si="46"/>
        <v>2.25</v>
      </c>
      <c r="K254">
        <f t="shared" si="46"/>
        <v>2.25</v>
      </c>
      <c r="L254">
        <f t="shared" si="46"/>
        <v>2.25</v>
      </c>
      <c r="M254">
        <f t="shared" si="40"/>
        <v>102.25</v>
      </c>
      <c r="P254">
        <f t="shared" si="41"/>
        <v>3.1375000000000002</v>
      </c>
      <c r="Q254">
        <v>0.27500000000000002</v>
      </c>
      <c r="R254">
        <f t="shared" si="42"/>
        <v>99.203186197554004</v>
      </c>
      <c r="S254">
        <f t="shared" si="43"/>
        <v>0.61875000000000002</v>
      </c>
      <c r="T254">
        <f t="shared" si="38"/>
        <v>99.82193619755401</v>
      </c>
      <c r="U254">
        <f t="shared" si="48"/>
        <v>0</v>
      </c>
      <c r="V254">
        <f t="shared" si="48"/>
        <v>0</v>
      </c>
      <c r="W254">
        <f t="shared" si="48"/>
        <v>0</v>
      </c>
      <c r="X254">
        <f t="shared" si="48"/>
        <v>0</v>
      </c>
      <c r="Y254">
        <f t="shared" si="48"/>
        <v>0</v>
      </c>
      <c r="Z254">
        <f t="shared" si="48"/>
        <v>0</v>
      </c>
      <c r="AA254">
        <f t="shared" si="48"/>
        <v>0.98243087564472875</v>
      </c>
      <c r="AB254">
        <f t="shared" si="48"/>
        <v>0.95870297696484874</v>
      </c>
      <c r="AC254">
        <f t="shared" si="48"/>
        <v>0.93554816000473162</v>
      </c>
      <c r="AD254">
        <f t="shared" si="48"/>
        <v>0.91295258356158249</v>
      </c>
    </row>
    <row r="255" spans="2:30">
      <c r="B255">
        <v>3.15</v>
      </c>
      <c r="D255">
        <f t="shared" si="47"/>
        <v>0</v>
      </c>
      <c r="E255">
        <f t="shared" si="46"/>
        <v>0</v>
      </c>
      <c r="F255">
        <f t="shared" si="46"/>
        <v>0</v>
      </c>
      <c r="G255">
        <f t="shared" si="46"/>
        <v>0</v>
      </c>
      <c r="H255">
        <f t="shared" si="46"/>
        <v>0</v>
      </c>
      <c r="I255">
        <f t="shared" si="46"/>
        <v>0</v>
      </c>
      <c r="J255">
        <f t="shared" si="46"/>
        <v>2.25</v>
      </c>
      <c r="K255">
        <f t="shared" si="46"/>
        <v>2.25</v>
      </c>
      <c r="L255">
        <f t="shared" si="46"/>
        <v>2.25</v>
      </c>
      <c r="M255">
        <f t="shared" si="40"/>
        <v>102.25</v>
      </c>
      <c r="P255">
        <f t="shared" si="41"/>
        <v>3.15</v>
      </c>
      <c r="Q255">
        <v>0.3</v>
      </c>
      <c r="R255">
        <f t="shared" si="42"/>
        <v>99.207967712784921</v>
      </c>
      <c r="S255">
        <f t="shared" si="43"/>
        <v>0.67499999999999993</v>
      </c>
      <c r="T255">
        <f t="shared" si="38"/>
        <v>99.882967712784918</v>
      </c>
      <c r="U255">
        <f t="shared" si="48"/>
        <v>0</v>
      </c>
      <c r="V255">
        <f t="shared" si="48"/>
        <v>0</v>
      </c>
      <c r="W255">
        <f t="shared" si="48"/>
        <v>0</v>
      </c>
      <c r="X255">
        <f t="shared" si="48"/>
        <v>0</v>
      </c>
      <c r="Y255">
        <f t="shared" si="48"/>
        <v>0</v>
      </c>
      <c r="Z255">
        <f t="shared" si="48"/>
        <v>0</v>
      </c>
      <c r="AA255">
        <f t="shared" si="48"/>
        <v>0.98303153765584805</v>
      </c>
      <c r="AB255">
        <f t="shared" si="48"/>
        <v>0.95928913164757079</v>
      </c>
      <c r="AC255">
        <f t="shared" si="48"/>
        <v>0.93612015774342094</v>
      </c>
      <c r="AD255">
        <f t="shared" si="48"/>
        <v>0.9135107662780394</v>
      </c>
    </row>
    <row r="256" spans="2:30">
      <c r="B256">
        <v>3.1625000000000001</v>
      </c>
      <c r="D256">
        <f t="shared" si="47"/>
        <v>0</v>
      </c>
      <c r="E256">
        <f t="shared" si="46"/>
        <v>0</v>
      </c>
      <c r="F256">
        <f t="shared" si="46"/>
        <v>0</v>
      </c>
      <c r="G256">
        <f t="shared" si="46"/>
        <v>0</v>
      </c>
      <c r="H256">
        <f t="shared" si="46"/>
        <v>0</v>
      </c>
      <c r="I256">
        <f t="shared" si="46"/>
        <v>0</v>
      </c>
      <c r="J256">
        <f t="shared" si="46"/>
        <v>2.25</v>
      </c>
      <c r="K256">
        <f t="shared" si="46"/>
        <v>2.25</v>
      </c>
      <c r="L256">
        <f t="shared" si="46"/>
        <v>2.25</v>
      </c>
      <c r="M256">
        <f t="shared" si="40"/>
        <v>102.25</v>
      </c>
      <c r="P256">
        <f t="shared" si="41"/>
        <v>3.1625000000000001</v>
      </c>
      <c r="Q256">
        <v>0.32500000000000001</v>
      </c>
      <c r="R256">
        <f t="shared" si="42"/>
        <v>99.212786542918693</v>
      </c>
      <c r="S256">
        <f t="shared" si="43"/>
        <v>0.73125000000000007</v>
      </c>
      <c r="T256">
        <f t="shared" si="38"/>
        <v>99.944036542918695</v>
      </c>
      <c r="U256">
        <f t="shared" si="48"/>
        <v>0</v>
      </c>
      <c r="V256">
        <f t="shared" si="48"/>
        <v>0</v>
      </c>
      <c r="W256">
        <f t="shared" si="48"/>
        <v>0</v>
      </c>
      <c r="X256">
        <f t="shared" si="48"/>
        <v>0</v>
      </c>
      <c r="Y256">
        <f t="shared" si="48"/>
        <v>0</v>
      </c>
      <c r="Z256">
        <f t="shared" si="48"/>
        <v>0</v>
      </c>
      <c r="AA256">
        <f t="shared" si="48"/>
        <v>0.98363256691402823</v>
      </c>
      <c r="AB256">
        <f t="shared" si="48"/>
        <v>0.95987564470751729</v>
      </c>
      <c r="AC256">
        <f t="shared" si="48"/>
        <v>0.93669250520372505</v>
      </c>
      <c r="AD256">
        <f t="shared" si="48"/>
        <v>0.91406929026955341</v>
      </c>
    </row>
    <row r="257" spans="2:30">
      <c r="B257">
        <v>3.1749999999999998</v>
      </c>
      <c r="D257">
        <f t="shared" si="47"/>
        <v>0</v>
      </c>
      <c r="E257">
        <f t="shared" si="46"/>
        <v>0</v>
      </c>
      <c r="F257">
        <f t="shared" si="46"/>
        <v>0</v>
      </c>
      <c r="G257">
        <f t="shared" si="46"/>
        <v>0</v>
      </c>
      <c r="H257">
        <f t="shared" si="46"/>
        <v>0</v>
      </c>
      <c r="I257">
        <f t="shared" si="46"/>
        <v>0</v>
      </c>
      <c r="J257">
        <f t="shared" si="46"/>
        <v>2.25</v>
      </c>
      <c r="K257">
        <f t="shared" si="46"/>
        <v>2.25</v>
      </c>
      <c r="L257">
        <f t="shared" si="46"/>
        <v>2.25</v>
      </c>
      <c r="M257">
        <f t="shared" si="40"/>
        <v>102.25</v>
      </c>
      <c r="P257">
        <f t="shared" si="41"/>
        <v>3.1749999999999998</v>
      </c>
      <c r="Q257">
        <v>0.35</v>
      </c>
      <c r="R257">
        <f t="shared" si="42"/>
        <v>99.217642710769809</v>
      </c>
      <c r="S257">
        <f t="shared" si="43"/>
        <v>0.78749999999999998</v>
      </c>
      <c r="T257">
        <f t="shared" si="38"/>
        <v>100.0051427107698</v>
      </c>
      <c r="U257">
        <f t="shared" si="48"/>
        <v>0</v>
      </c>
      <c r="V257">
        <f t="shared" si="48"/>
        <v>0</v>
      </c>
      <c r="W257">
        <f t="shared" si="48"/>
        <v>0</v>
      </c>
      <c r="X257">
        <f t="shared" si="48"/>
        <v>0</v>
      </c>
      <c r="Y257">
        <f t="shared" si="48"/>
        <v>0</v>
      </c>
      <c r="Z257">
        <f t="shared" si="48"/>
        <v>0</v>
      </c>
      <c r="AA257">
        <f t="shared" si="48"/>
        <v>0.98423396364380566</v>
      </c>
      <c r="AB257">
        <f t="shared" si="48"/>
        <v>0.96046251636380153</v>
      </c>
      <c r="AC257">
        <f t="shared" si="48"/>
        <v>0.93726520259946466</v>
      </c>
      <c r="AD257">
        <f t="shared" si="48"/>
        <v>0.91462815574478129</v>
      </c>
    </row>
    <row r="258" spans="2:30">
      <c r="B258">
        <v>3.1875</v>
      </c>
      <c r="D258">
        <f t="shared" si="47"/>
        <v>0</v>
      </c>
      <c r="E258">
        <f t="shared" si="46"/>
        <v>0</v>
      </c>
      <c r="F258">
        <f t="shared" si="46"/>
        <v>0</v>
      </c>
      <c r="G258">
        <f t="shared" si="46"/>
        <v>0</v>
      </c>
      <c r="H258">
        <f t="shared" si="46"/>
        <v>0</v>
      </c>
      <c r="I258">
        <f t="shared" si="46"/>
        <v>0</v>
      </c>
      <c r="J258">
        <f t="shared" si="46"/>
        <v>2.25</v>
      </c>
      <c r="K258">
        <f t="shared" si="46"/>
        <v>2.25</v>
      </c>
      <c r="L258">
        <f t="shared" si="46"/>
        <v>2.25</v>
      </c>
      <c r="M258">
        <f t="shared" si="40"/>
        <v>102.25</v>
      </c>
      <c r="P258">
        <f t="shared" si="41"/>
        <v>3.1875</v>
      </c>
      <c r="Q258">
        <v>0.375</v>
      </c>
      <c r="R258">
        <f t="shared" si="42"/>
        <v>99.222536239166658</v>
      </c>
      <c r="S258">
        <f t="shared" si="43"/>
        <v>0.84375</v>
      </c>
      <c r="T258">
        <f t="shared" si="38"/>
        <v>100.06628623916666</v>
      </c>
      <c r="U258">
        <f t="shared" si="48"/>
        <v>0</v>
      </c>
      <c r="V258">
        <f t="shared" si="48"/>
        <v>0</v>
      </c>
      <c r="W258">
        <f t="shared" si="48"/>
        <v>0</v>
      </c>
      <c r="X258">
        <f t="shared" si="48"/>
        <v>0</v>
      </c>
      <c r="Y258">
        <f t="shared" si="48"/>
        <v>0</v>
      </c>
      <c r="Z258">
        <f t="shared" si="48"/>
        <v>0</v>
      </c>
      <c r="AA258">
        <f t="shared" si="48"/>
        <v>0.98483572806985353</v>
      </c>
      <c r="AB258">
        <f t="shared" si="48"/>
        <v>0.96104974683567079</v>
      </c>
      <c r="AC258">
        <f t="shared" si="48"/>
        <v>0.9378382501445921</v>
      </c>
      <c r="AD258">
        <f t="shared" si="48"/>
        <v>0.91518736291250746</v>
      </c>
    </row>
    <row r="259" spans="2:30">
      <c r="B259">
        <v>3.2</v>
      </c>
      <c r="D259">
        <f t="shared" si="47"/>
        <v>0</v>
      </c>
      <c r="E259">
        <f t="shared" si="46"/>
        <v>0</v>
      </c>
      <c r="F259">
        <f t="shared" si="46"/>
        <v>0</v>
      </c>
      <c r="G259">
        <f t="shared" si="46"/>
        <v>0</v>
      </c>
      <c r="H259">
        <f t="shared" si="46"/>
        <v>0</v>
      </c>
      <c r="I259">
        <f t="shared" si="46"/>
        <v>0</v>
      </c>
      <c r="J259">
        <f t="shared" si="46"/>
        <v>2.25</v>
      </c>
      <c r="K259">
        <f t="shared" si="46"/>
        <v>2.25</v>
      </c>
      <c r="L259">
        <f t="shared" si="46"/>
        <v>2.25</v>
      </c>
      <c r="M259">
        <f t="shared" si="40"/>
        <v>102.25</v>
      </c>
      <c r="P259">
        <f t="shared" si="41"/>
        <v>3.2</v>
      </c>
      <c r="Q259">
        <v>0.4</v>
      </c>
      <c r="R259">
        <f t="shared" si="42"/>
        <v>99.227467150951611</v>
      </c>
      <c r="S259">
        <f t="shared" si="43"/>
        <v>0.9</v>
      </c>
      <c r="T259">
        <f t="shared" ref="T259:T322" si="49">SUMPRODUCT(U259:AD259,D259:M259)</f>
        <v>100.12746715095162</v>
      </c>
      <c r="U259">
        <f t="shared" ref="U259:AD274" si="50">IF((1/(1+$O$3/2)^((U$2-$P259)*2))&lt;=1,1/(1+$O$3/2)^((U$2-$P259)*2),0)</f>
        <v>0</v>
      </c>
      <c r="V259">
        <f t="shared" si="50"/>
        <v>0</v>
      </c>
      <c r="W259">
        <f t="shared" si="50"/>
        <v>0</v>
      </c>
      <c r="X259">
        <f t="shared" si="50"/>
        <v>0</v>
      </c>
      <c r="Y259">
        <f t="shared" si="50"/>
        <v>0</v>
      </c>
      <c r="Z259">
        <f t="shared" si="50"/>
        <v>0</v>
      </c>
      <c r="AA259">
        <f t="shared" si="50"/>
        <v>0.98543786041698334</v>
      </c>
      <c r="AB259">
        <f t="shared" si="50"/>
        <v>0.96163733634250614</v>
      </c>
      <c r="AC259">
        <f t="shared" si="50"/>
        <v>0.93841164805318977</v>
      </c>
      <c r="AD259">
        <f t="shared" si="50"/>
        <v>0.91574691198164393</v>
      </c>
    </row>
    <row r="260" spans="2:30">
      <c r="B260">
        <v>3.2124999999999999</v>
      </c>
      <c r="D260">
        <f t="shared" si="47"/>
        <v>0</v>
      </c>
      <c r="E260">
        <f t="shared" si="46"/>
        <v>0</v>
      </c>
      <c r="F260">
        <f t="shared" si="46"/>
        <v>0</v>
      </c>
      <c r="G260">
        <f t="shared" si="46"/>
        <v>0</v>
      </c>
      <c r="H260">
        <f t="shared" si="46"/>
        <v>0</v>
      </c>
      <c r="I260">
        <f t="shared" si="46"/>
        <v>0</v>
      </c>
      <c r="J260">
        <f t="shared" si="46"/>
        <v>2.25</v>
      </c>
      <c r="K260">
        <f t="shared" si="46"/>
        <v>2.25</v>
      </c>
      <c r="L260">
        <f t="shared" si="46"/>
        <v>2.25</v>
      </c>
      <c r="M260">
        <f t="shared" ref="M260:M323" si="51">IF($B260&lt;=M$2,100*$D$1/2,0)+100</f>
        <v>102.25</v>
      </c>
      <c r="P260">
        <f t="shared" ref="P260:P323" si="52">B260</f>
        <v>3.2124999999999999</v>
      </c>
      <c r="Q260">
        <v>0.42499999999999999</v>
      </c>
      <c r="R260">
        <f t="shared" ref="R260:R323" si="53">T260-S260</f>
        <v>99.23243546898108</v>
      </c>
      <c r="S260">
        <f t="shared" si="43"/>
        <v>0.95624999999999993</v>
      </c>
      <c r="T260">
        <f t="shared" si="49"/>
        <v>100.18868546898108</v>
      </c>
      <c r="U260">
        <f t="shared" si="50"/>
        <v>0</v>
      </c>
      <c r="V260">
        <f t="shared" si="50"/>
        <v>0</v>
      </c>
      <c r="W260">
        <f t="shared" si="50"/>
        <v>0</v>
      </c>
      <c r="X260">
        <f t="shared" si="50"/>
        <v>0</v>
      </c>
      <c r="Y260">
        <f t="shared" si="50"/>
        <v>0</v>
      </c>
      <c r="Z260">
        <f t="shared" si="50"/>
        <v>0</v>
      </c>
      <c r="AA260">
        <f t="shared" si="50"/>
        <v>0.98604036091014291</v>
      </c>
      <c r="AB260">
        <f t="shared" si="50"/>
        <v>0.96222528510382321</v>
      </c>
      <c r="AC260">
        <f t="shared" si="50"/>
        <v>0.93898539653947122</v>
      </c>
      <c r="AD260">
        <f t="shared" si="50"/>
        <v>0.9163068031612307</v>
      </c>
    </row>
    <row r="261" spans="2:30">
      <c r="B261">
        <v>3.2250000000000001</v>
      </c>
      <c r="D261">
        <f t="shared" si="47"/>
        <v>0</v>
      </c>
      <c r="E261">
        <f t="shared" si="46"/>
        <v>0</v>
      </c>
      <c r="F261">
        <f t="shared" si="46"/>
        <v>0</v>
      </c>
      <c r="G261">
        <f t="shared" si="46"/>
        <v>0</v>
      </c>
      <c r="H261">
        <f t="shared" si="46"/>
        <v>0</v>
      </c>
      <c r="I261">
        <f t="shared" si="46"/>
        <v>0</v>
      </c>
      <c r="J261">
        <f t="shared" si="46"/>
        <v>2.25</v>
      </c>
      <c r="K261">
        <f t="shared" ref="E261:L293" si="54">IF($B261&lt;=K$2,100*$D$1/2,0)</f>
        <v>2.25</v>
      </c>
      <c r="L261">
        <f t="shared" si="54"/>
        <v>2.25</v>
      </c>
      <c r="M261">
        <f t="shared" si="51"/>
        <v>102.25</v>
      </c>
      <c r="P261">
        <f t="shared" si="52"/>
        <v>3.2250000000000001</v>
      </c>
      <c r="Q261">
        <v>0.45</v>
      </c>
      <c r="R261">
        <f t="shared" si="53"/>
        <v>99.237441216125333</v>
      </c>
      <c r="S261">
        <f t="shared" ref="S261:S324" si="55">(100*$D$1/2)*Q261</f>
        <v>1.0125</v>
      </c>
      <c r="T261">
        <f t="shared" si="49"/>
        <v>100.24994121612534</v>
      </c>
      <c r="U261">
        <f t="shared" si="50"/>
        <v>0</v>
      </c>
      <c r="V261">
        <f t="shared" si="50"/>
        <v>0</v>
      </c>
      <c r="W261">
        <f t="shared" si="50"/>
        <v>0</v>
      </c>
      <c r="X261">
        <f t="shared" si="50"/>
        <v>0</v>
      </c>
      <c r="Y261">
        <f t="shared" si="50"/>
        <v>0</v>
      </c>
      <c r="Z261">
        <f t="shared" si="50"/>
        <v>0</v>
      </c>
      <c r="AA261">
        <f t="shared" si="50"/>
        <v>0.98664322977441832</v>
      </c>
      <c r="AB261">
        <f t="shared" si="50"/>
        <v>0.96281359333927141</v>
      </c>
      <c r="AC261">
        <f t="shared" si="50"/>
        <v>0.93955949581778131</v>
      </c>
      <c r="AD261">
        <f t="shared" si="50"/>
        <v>0.91686703666043545</v>
      </c>
    </row>
    <row r="262" spans="2:30">
      <c r="B262">
        <v>3.2374999999999998</v>
      </c>
      <c r="D262">
        <f t="shared" si="47"/>
        <v>0</v>
      </c>
      <c r="E262">
        <f t="shared" si="54"/>
        <v>0</v>
      </c>
      <c r="F262">
        <f t="shared" si="54"/>
        <v>0</v>
      </c>
      <c r="G262">
        <f t="shared" si="54"/>
        <v>0</v>
      </c>
      <c r="H262">
        <f t="shared" si="54"/>
        <v>0</v>
      </c>
      <c r="I262">
        <f t="shared" si="54"/>
        <v>0</v>
      </c>
      <c r="J262">
        <f t="shared" si="54"/>
        <v>2.25</v>
      </c>
      <c r="K262">
        <f t="shared" si="54"/>
        <v>2.25</v>
      </c>
      <c r="L262">
        <f t="shared" si="54"/>
        <v>2.25</v>
      </c>
      <c r="M262">
        <f t="shared" si="51"/>
        <v>102.25</v>
      </c>
      <c r="P262">
        <f t="shared" si="52"/>
        <v>3.2374999999999998</v>
      </c>
      <c r="Q262">
        <v>0.47499999999999998</v>
      </c>
      <c r="R262">
        <f t="shared" si="53"/>
        <v>99.242484415268706</v>
      </c>
      <c r="S262">
        <f t="shared" si="55"/>
        <v>1.0687499999999999</v>
      </c>
      <c r="T262">
        <f t="shared" si="49"/>
        <v>100.3112344152687</v>
      </c>
      <c r="U262">
        <f t="shared" si="50"/>
        <v>0</v>
      </c>
      <c r="V262">
        <f t="shared" si="50"/>
        <v>0</v>
      </c>
      <c r="W262">
        <f t="shared" si="50"/>
        <v>0</v>
      </c>
      <c r="X262">
        <f t="shared" si="50"/>
        <v>0</v>
      </c>
      <c r="Y262">
        <f t="shared" si="50"/>
        <v>0</v>
      </c>
      <c r="Z262">
        <f t="shared" si="50"/>
        <v>0</v>
      </c>
      <c r="AA262">
        <f t="shared" si="50"/>
        <v>0.98724646723503318</v>
      </c>
      <c r="AB262">
        <f t="shared" si="50"/>
        <v>0.96340226126863449</v>
      </c>
      <c r="AC262">
        <f t="shared" si="50"/>
        <v>0.94013394610259526</v>
      </c>
      <c r="AD262">
        <f t="shared" si="50"/>
        <v>0.91742761268855355</v>
      </c>
    </row>
    <row r="263" spans="2:30">
      <c r="B263">
        <v>3.25</v>
      </c>
      <c r="D263">
        <f t="shared" si="47"/>
        <v>0</v>
      </c>
      <c r="E263">
        <f t="shared" si="54"/>
        <v>0</v>
      </c>
      <c r="F263">
        <f t="shared" si="54"/>
        <v>0</v>
      </c>
      <c r="G263">
        <f t="shared" si="54"/>
        <v>0</v>
      </c>
      <c r="H263">
        <f t="shared" si="54"/>
        <v>0</v>
      </c>
      <c r="I263">
        <f t="shared" si="54"/>
        <v>0</v>
      </c>
      <c r="J263">
        <f t="shared" si="54"/>
        <v>2.25</v>
      </c>
      <c r="K263">
        <f t="shared" si="54"/>
        <v>2.25</v>
      </c>
      <c r="L263">
        <f t="shared" si="54"/>
        <v>2.25</v>
      </c>
      <c r="M263">
        <f t="shared" si="51"/>
        <v>102.25</v>
      </c>
      <c r="P263">
        <f t="shared" si="52"/>
        <v>3.25</v>
      </c>
      <c r="Q263">
        <v>0.5</v>
      </c>
      <c r="R263">
        <f t="shared" si="53"/>
        <v>99.247565089309433</v>
      </c>
      <c r="S263">
        <f t="shared" si="55"/>
        <v>1.125</v>
      </c>
      <c r="T263">
        <f t="shared" si="49"/>
        <v>100.37256508930943</v>
      </c>
      <c r="U263">
        <f t="shared" si="50"/>
        <v>0</v>
      </c>
      <c r="V263">
        <f t="shared" si="50"/>
        <v>0</v>
      </c>
      <c r="W263">
        <f t="shared" si="50"/>
        <v>0</v>
      </c>
      <c r="X263">
        <f t="shared" si="50"/>
        <v>0</v>
      </c>
      <c r="Y263">
        <f t="shared" si="50"/>
        <v>0</v>
      </c>
      <c r="Z263">
        <f t="shared" si="50"/>
        <v>0</v>
      </c>
      <c r="AA263">
        <f t="shared" si="50"/>
        <v>0.98785007351734877</v>
      </c>
      <c r="AB263">
        <f t="shared" si="50"/>
        <v>0.96399128911183096</v>
      </c>
      <c r="AC263">
        <f t="shared" si="50"/>
        <v>0.94070874760851986</v>
      </c>
      <c r="AD263">
        <f t="shared" si="50"/>
        <v>0.91798853145500836</v>
      </c>
    </row>
    <row r="264" spans="2:30">
      <c r="B264">
        <v>3.2625000000000002</v>
      </c>
      <c r="D264">
        <f t="shared" si="47"/>
        <v>0</v>
      </c>
      <c r="E264">
        <f t="shared" si="54"/>
        <v>0</v>
      </c>
      <c r="F264">
        <f t="shared" si="54"/>
        <v>0</v>
      </c>
      <c r="G264">
        <f t="shared" si="54"/>
        <v>0</v>
      </c>
      <c r="H264">
        <f t="shared" si="54"/>
        <v>0</v>
      </c>
      <c r="I264">
        <f t="shared" si="54"/>
        <v>0</v>
      </c>
      <c r="J264">
        <f t="shared" si="54"/>
        <v>2.25</v>
      </c>
      <c r="K264">
        <f t="shared" si="54"/>
        <v>2.25</v>
      </c>
      <c r="L264">
        <f t="shared" si="54"/>
        <v>2.25</v>
      </c>
      <c r="M264">
        <f t="shared" si="51"/>
        <v>102.25</v>
      </c>
      <c r="P264">
        <f t="shared" si="52"/>
        <v>3.2625000000000002</v>
      </c>
      <c r="Q264">
        <v>0.52500000000000002</v>
      </c>
      <c r="R264">
        <f t="shared" si="53"/>
        <v>99.252683261159873</v>
      </c>
      <c r="S264">
        <f t="shared" si="55"/>
        <v>1.1812500000000001</v>
      </c>
      <c r="T264">
        <f t="shared" si="49"/>
        <v>100.43393326115988</v>
      </c>
      <c r="U264">
        <f t="shared" si="50"/>
        <v>0</v>
      </c>
      <c r="V264">
        <f t="shared" si="50"/>
        <v>0</v>
      </c>
      <c r="W264">
        <f t="shared" si="50"/>
        <v>0</v>
      </c>
      <c r="X264">
        <f t="shared" si="50"/>
        <v>0</v>
      </c>
      <c r="Y264">
        <f t="shared" si="50"/>
        <v>0</v>
      </c>
      <c r="Z264">
        <f t="shared" si="50"/>
        <v>0</v>
      </c>
      <c r="AA264">
        <f t="shared" si="50"/>
        <v>0.98845404884686383</v>
      </c>
      <c r="AB264">
        <f t="shared" si="50"/>
        <v>0.96458067708891304</v>
      </c>
      <c r="AC264">
        <f t="shared" si="50"/>
        <v>0.94128390055029321</v>
      </c>
      <c r="AD264">
        <f t="shared" si="50"/>
        <v>0.91854979316935181</v>
      </c>
    </row>
    <row r="265" spans="2:30">
      <c r="B265">
        <v>3.2749999999999999</v>
      </c>
      <c r="D265">
        <f t="shared" si="47"/>
        <v>0</v>
      </c>
      <c r="E265">
        <f t="shared" si="54"/>
        <v>0</v>
      </c>
      <c r="F265">
        <f t="shared" si="54"/>
        <v>0</v>
      </c>
      <c r="G265">
        <f t="shared" si="54"/>
        <v>0</v>
      </c>
      <c r="H265">
        <f t="shared" si="54"/>
        <v>0</v>
      </c>
      <c r="I265">
        <f t="shared" si="54"/>
        <v>0</v>
      </c>
      <c r="J265">
        <f t="shared" si="54"/>
        <v>2.25</v>
      </c>
      <c r="K265">
        <f t="shared" si="54"/>
        <v>2.25</v>
      </c>
      <c r="L265">
        <f t="shared" si="54"/>
        <v>2.25</v>
      </c>
      <c r="M265">
        <f t="shared" si="51"/>
        <v>102.25</v>
      </c>
      <c r="P265">
        <f t="shared" si="52"/>
        <v>3.2749999999999999</v>
      </c>
      <c r="Q265">
        <v>0.55000000000000004</v>
      </c>
      <c r="R265">
        <f t="shared" si="53"/>
        <v>99.257838953746329</v>
      </c>
      <c r="S265">
        <f t="shared" si="55"/>
        <v>1.2375</v>
      </c>
      <c r="T265">
        <f t="shared" si="49"/>
        <v>100.49533895374633</v>
      </c>
      <c r="U265">
        <f t="shared" si="50"/>
        <v>0</v>
      </c>
      <c r="V265">
        <f t="shared" si="50"/>
        <v>0</v>
      </c>
      <c r="W265">
        <f t="shared" si="50"/>
        <v>0</v>
      </c>
      <c r="X265">
        <f t="shared" si="50"/>
        <v>0</v>
      </c>
      <c r="Y265">
        <f t="shared" si="50"/>
        <v>0</v>
      </c>
      <c r="Z265">
        <f t="shared" si="50"/>
        <v>0</v>
      </c>
      <c r="AA265">
        <f t="shared" si="50"/>
        <v>0.98905839344921531</v>
      </c>
      <c r="AB265">
        <f t="shared" si="50"/>
        <v>0.96517042542006859</v>
      </c>
      <c r="AC265">
        <f t="shared" si="50"/>
        <v>0.94185940514278454</v>
      </c>
      <c r="AD265">
        <f t="shared" si="50"/>
        <v>0.91911139804126329</v>
      </c>
    </row>
    <row r="266" spans="2:30">
      <c r="B266">
        <v>3.2875000000000001</v>
      </c>
      <c r="D266">
        <f t="shared" si="47"/>
        <v>0</v>
      </c>
      <c r="E266">
        <f t="shared" si="54"/>
        <v>0</v>
      </c>
      <c r="F266">
        <f t="shared" si="54"/>
        <v>0</v>
      </c>
      <c r="G266">
        <f t="shared" si="54"/>
        <v>0</v>
      </c>
      <c r="H266">
        <f t="shared" si="54"/>
        <v>0</v>
      </c>
      <c r="I266">
        <f t="shared" si="54"/>
        <v>0</v>
      </c>
      <c r="J266">
        <f t="shared" si="54"/>
        <v>2.25</v>
      </c>
      <c r="K266">
        <f t="shared" si="54"/>
        <v>2.25</v>
      </c>
      <c r="L266">
        <f t="shared" si="54"/>
        <v>2.25</v>
      </c>
      <c r="M266">
        <f t="shared" si="51"/>
        <v>102.25</v>
      </c>
      <c r="P266">
        <f t="shared" si="52"/>
        <v>3.2875000000000001</v>
      </c>
      <c r="Q266">
        <v>0.57499999999999996</v>
      </c>
      <c r="R266">
        <f t="shared" si="53"/>
        <v>99.263032190009099</v>
      </c>
      <c r="S266">
        <f t="shared" si="55"/>
        <v>1.29375</v>
      </c>
      <c r="T266">
        <f t="shared" si="49"/>
        <v>100.5567821900091</v>
      </c>
      <c r="U266">
        <f t="shared" si="50"/>
        <v>0</v>
      </c>
      <c r="V266">
        <f t="shared" si="50"/>
        <v>0</v>
      </c>
      <c r="W266">
        <f t="shared" si="50"/>
        <v>0</v>
      </c>
      <c r="X266">
        <f t="shared" si="50"/>
        <v>0</v>
      </c>
      <c r="Y266">
        <f t="shared" si="50"/>
        <v>0</v>
      </c>
      <c r="Z266">
        <f t="shared" si="50"/>
        <v>0</v>
      </c>
      <c r="AA266">
        <f t="shared" si="50"/>
        <v>0.98966310755017817</v>
      </c>
      <c r="AB266">
        <f t="shared" si="50"/>
        <v>0.96576053432561904</v>
      </c>
      <c r="AC266">
        <f t="shared" si="50"/>
        <v>0.94243526160099433</v>
      </c>
      <c r="AD266">
        <f t="shared" si="50"/>
        <v>0.91967334628055075</v>
      </c>
    </row>
    <row r="267" spans="2:30">
      <c r="B267">
        <v>3.3</v>
      </c>
      <c r="D267">
        <f t="shared" si="47"/>
        <v>0</v>
      </c>
      <c r="E267">
        <f t="shared" si="54"/>
        <v>0</v>
      </c>
      <c r="F267">
        <f t="shared" si="54"/>
        <v>0</v>
      </c>
      <c r="G267">
        <f t="shared" si="54"/>
        <v>0</v>
      </c>
      <c r="H267">
        <f t="shared" si="54"/>
        <v>0</v>
      </c>
      <c r="I267">
        <f t="shared" si="54"/>
        <v>0</v>
      </c>
      <c r="J267">
        <f t="shared" si="54"/>
        <v>2.25</v>
      </c>
      <c r="K267">
        <f t="shared" si="54"/>
        <v>2.25</v>
      </c>
      <c r="L267">
        <f t="shared" si="54"/>
        <v>2.25</v>
      </c>
      <c r="M267">
        <f t="shared" si="51"/>
        <v>102.25</v>
      </c>
      <c r="P267">
        <f t="shared" si="52"/>
        <v>3.3</v>
      </c>
      <c r="Q267">
        <v>0.6</v>
      </c>
      <c r="R267">
        <f t="shared" si="53"/>
        <v>99.268262992902521</v>
      </c>
      <c r="S267">
        <f t="shared" si="55"/>
        <v>1.3499999999999999</v>
      </c>
      <c r="T267">
        <f t="shared" si="49"/>
        <v>100.61826299290252</v>
      </c>
      <c r="U267">
        <f t="shared" si="50"/>
        <v>0</v>
      </c>
      <c r="V267">
        <f t="shared" si="50"/>
        <v>0</v>
      </c>
      <c r="W267">
        <f t="shared" si="50"/>
        <v>0</v>
      </c>
      <c r="X267">
        <f t="shared" si="50"/>
        <v>0</v>
      </c>
      <c r="Y267">
        <f t="shared" si="50"/>
        <v>0</v>
      </c>
      <c r="Z267">
        <f t="shared" si="50"/>
        <v>0</v>
      </c>
      <c r="AA267">
        <f t="shared" si="50"/>
        <v>0.99026819137566513</v>
      </c>
      <c r="AB267">
        <f t="shared" si="50"/>
        <v>0.96635100402602103</v>
      </c>
      <c r="AC267">
        <f t="shared" si="50"/>
        <v>0.9430114701400546</v>
      </c>
      <c r="AD267">
        <f t="shared" si="50"/>
        <v>0.92023563809715014</v>
      </c>
    </row>
    <row r="268" spans="2:30">
      <c r="B268">
        <v>3.3125</v>
      </c>
      <c r="D268">
        <f t="shared" si="47"/>
        <v>0</v>
      </c>
      <c r="E268">
        <f t="shared" si="54"/>
        <v>0</v>
      </c>
      <c r="F268">
        <f t="shared" si="54"/>
        <v>0</v>
      </c>
      <c r="G268">
        <f t="shared" si="54"/>
        <v>0</v>
      </c>
      <c r="H268">
        <f t="shared" si="54"/>
        <v>0</v>
      </c>
      <c r="I268">
        <f t="shared" si="54"/>
        <v>0</v>
      </c>
      <c r="J268">
        <f t="shared" si="54"/>
        <v>2.25</v>
      </c>
      <c r="K268">
        <f t="shared" si="54"/>
        <v>2.25</v>
      </c>
      <c r="L268">
        <f t="shared" si="54"/>
        <v>2.25</v>
      </c>
      <c r="M268">
        <f t="shared" si="51"/>
        <v>102.25</v>
      </c>
      <c r="P268">
        <f t="shared" si="52"/>
        <v>3.3125</v>
      </c>
      <c r="Q268">
        <v>0.625</v>
      </c>
      <c r="R268">
        <f t="shared" si="53"/>
        <v>99.273531385395003</v>
      </c>
      <c r="S268">
        <f t="shared" si="55"/>
        <v>1.40625</v>
      </c>
      <c r="T268">
        <f t="shared" si="49"/>
        <v>100.679781385395</v>
      </c>
      <c r="U268">
        <f t="shared" si="50"/>
        <v>0</v>
      </c>
      <c r="V268">
        <f t="shared" si="50"/>
        <v>0</v>
      </c>
      <c r="W268">
        <f t="shared" si="50"/>
        <v>0</v>
      </c>
      <c r="X268">
        <f t="shared" si="50"/>
        <v>0</v>
      </c>
      <c r="Y268">
        <f t="shared" si="50"/>
        <v>0</v>
      </c>
      <c r="Z268">
        <f t="shared" si="50"/>
        <v>0</v>
      </c>
      <c r="AA268">
        <f t="shared" si="50"/>
        <v>0.99087364515172727</v>
      </c>
      <c r="AB268">
        <f t="shared" si="50"/>
        <v>0.96694183474186624</v>
      </c>
      <c r="AC268">
        <f t="shared" si="50"/>
        <v>0.94358803097522914</v>
      </c>
      <c r="AD268">
        <f t="shared" si="50"/>
        <v>0.92079827370112621</v>
      </c>
    </row>
    <row r="269" spans="2:30">
      <c r="B269">
        <v>3.3250000000000002</v>
      </c>
      <c r="D269">
        <f t="shared" si="47"/>
        <v>0</v>
      </c>
      <c r="E269">
        <f t="shared" si="54"/>
        <v>0</v>
      </c>
      <c r="F269">
        <f t="shared" si="54"/>
        <v>0</v>
      </c>
      <c r="G269">
        <f t="shared" si="54"/>
        <v>0</v>
      </c>
      <c r="H269">
        <f t="shared" si="54"/>
        <v>0</v>
      </c>
      <c r="I269">
        <f t="shared" si="54"/>
        <v>0</v>
      </c>
      <c r="J269">
        <f t="shared" si="54"/>
        <v>2.25</v>
      </c>
      <c r="K269">
        <f t="shared" si="54"/>
        <v>2.25</v>
      </c>
      <c r="L269">
        <f t="shared" si="54"/>
        <v>2.25</v>
      </c>
      <c r="M269">
        <f t="shared" si="51"/>
        <v>102.25</v>
      </c>
      <c r="P269">
        <f t="shared" si="52"/>
        <v>3.3250000000000002</v>
      </c>
      <c r="Q269">
        <v>0.65</v>
      </c>
      <c r="R269">
        <f t="shared" si="53"/>
        <v>99.278837390468965</v>
      </c>
      <c r="S269">
        <f t="shared" si="55"/>
        <v>1.4625000000000001</v>
      </c>
      <c r="T269">
        <f t="shared" si="49"/>
        <v>100.74133739046897</v>
      </c>
      <c r="U269">
        <f t="shared" si="50"/>
        <v>0</v>
      </c>
      <c r="V269">
        <f t="shared" si="50"/>
        <v>0</v>
      </c>
      <c r="W269">
        <f t="shared" si="50"/>
        <v>0</v>
      </c>
      <c r="X269">
        <f t="shared" si="50"/>
        <v>0</v>
      </c>
      <c r="Y269">
        <f t="shared" si="50"/>
        <v>0</v>
      </c>
      <c r="Z269">
        <f t="shared" si="50"/>
        <v>0</v>
      </c>
      <c r="AA269">
        <f t="shared" si="50"/>
        <v>0.99147946910455398</v>
      </c>
      <c r="AB269">
        <f t="shared" si="50"/>
        <v>0.96753302669388042</v>
      </c>
      <c r="AC269">
        <f t="shared" si="50"/>
        <v>0.94416494432191289</v>
      </c>
      <c r="AD269">
        <f t="shared" si="50"/>
        <v>0.92136125330267171</v>
      </c>
    </row>
    <row r="270" spans="2:30">
      <c r="B270">
        <v>3.3374999999999999</v>
      </c>
      <c r="D270">
        <f t="shared" si="47"/>
        <v>0</v>
      </c>
      <c r="E270">
        <f t="shared" si="54"/>
        <v>0</v>
      </c>
      <c r="F270">
        <f t="shared" si="54"/>
        <v>0</v>
      </c>
      <c r="G270">
        <f t="shared" si="54"/>
        <v>0</v>
      </c>
      <c r="H270">
        <f t="shared" si="54"/>
        <v>0</v>
      </c>
      <c r="I270">
        <f t="shared" si="54"/>
        <v>0</v>
      </c>
      <c r="J270">
        <f t="shared" si="54"/>
        <v>2.25</v>
      </c>
      <c r="K270">
        <f t="shared" si="54"/>
        <v>2.25</v>
      </c>
      <c r="L270">
        <f t="shared" si="54"/>
        <v>2.25</v>
      </c>
      <c r="M270">
        <f t="shared" si="51"/>
        <v>102.25</v>
      </c>
      <c r="P270">
        <f t="shared" si="52"/>
        <v>3.3374999999999999</v>
      </c>
      <c r="Q270">
        <v>0.67500000000000004</v>
      </c>
      <c r="R270">
        <f t="shared" si="53"/>
        <v>99.284181031120895</v>
      </c>
      <c r="S270">
        <f t="shared" si="55"/>
        <v>1.51875</v>
      </c>
      <c r="T270">
        <f t="shared" si="49"/>
        <v>100.80293103112089</v>
      </c>
      <c r="U270">
        <f t="shared" si="50"/>
        <v>0</v>
      </c>
      <c r="V270">
        <f t="shared" si="50"/>
        <v>0</v>
      </c>
      <c r="W270">
        <f t="shared" si="50"/>
        <v>0</v>
      </c>
      <c r="X270">
        <f t="shared" si="50"/>
        <v>0</v>
      </c>
      <c r="Y270">
        <f t="shared" si="50"/>
        <v>0</v>
      </c>
      <c r="Z270">
        <f t="shared" si="50"/>
        <v>0</v>
      </c>
      <c r="AA270">
        <f t="shared" si="50"/>
        <v>0.99208566346047244</v>
      </c>
      <c r="AB270">
        <f t="shared" si="50"/>
        <v>0.9681245801029249</v>
      </c>
      <c r="AC270">
        <f t="shared" si="50"/>
        <v>0.94474221039563289</v>
      </c>
      <c r="AD270">
        <f t="shared" si="50"/>
        <v>0.92192457711210829</v>
      </c>
    </row>
    <row r="271" spans="2:30">
      <c r="B271">
        <v>3.35</v>
      </c>
      <c r="D271">
        <f t="shared" si="47"/>
        <v>0</v>
      </c>
      <c r="E271">
        <f t="shared" si="54"/>
        <v>0</v>
      </c>
      <c r="F271">
        <f t="shared" si="54"/>
        <v>0</v>
      </c>
      <c r="G271">
        <f t="shared" si="54"/>
        <v>0</v>
      </c>
      <c r="H271">
        <f t="shared" si="54"/>
        <v>0</v>
      </c>
      <c r="I271">
        <f t="shared" si="54"/>
        <v>0</v>
      </c>
      <c r="J271">
        <f t="shared" si="54"/>
        <v>2.25</v>
      </c>
      <c r="K271">
        <f t="shared" si="54"/>
        <v>2.25</v>
      </c>
      <c r="L271">
        <f t="shared" si="54"/>
        <v>2.25</v>
      </c>
      <c r="M271">
        <f t="shared" si="51"/>
        <v>102.25</v>
      </c>
      <c r="P271">
        <f t="shared" si="52"/>
        <v>3.35</v>
      </c>
      <c r="Q271">
        <v>0.7</v>
      </c>
      <c r="R271">
        <f t="shared" si="53"/>
        <v>99.289562330361292</v>
      </c>
      <c r="S271">
        <f t="shared" si="55"/>
        <v>1.575</v>
      </c>
      <c r="T271">
        <f t="shared" si="49"/>
        <v>100.8645623303613</v>
      </c>
      <c r="U271">
        <f t="shared" si="50"/>
        <v>0</v>
      </c>
      <c r="V271">
        <f t="shared" si="50"/>
        <v>0</v>
      </c>
      <c r="W271">
        <f t="shared" si="50"/>
        <v>0</v>
      </c>
      <c r="X271">
        <f t="shared" si="50"/>
        <v>0</v>
      </c>
      <c r="Y271">
        <f t="shared" si="50"/>
        <v>0</v>
      </c>
      <c r="Z271">
        <f t="shared" si="50"/>
        <v>0</v>
      </c>
      <c r="AA271">
        <f t="shared" si="50"/>
        <v>0.99269222844594862</v>
      </c>
      <c r="AB271">
        <f t="shared" si="50"/>
        <v>0.96871649518999625</v>
      </c>
      <c r="AC271">
        <f t="shared" si="50"/>
        <v>0.94531982941204795</v>
      </c>
      <c r="AD271">
        <f t="shared" si="50"/>
        <v>0.9224882453398856</v>
      </c>
    </row>
    <row r="272" spans="2:30">
      <c r="B272">
        <v>3.3624999999999998</v>
      </c>
      <c r="D272">
        <f t="shared" si="47"/>
        <v>0</v>
      </c>
      <c r="E272">
        <f t="shared" si="54"/>
        <v>0</v>
      </c>
      <c r="F272">
        <f t="shared" si="54"/>
        <v>0</v>
      </c>
      <c r="G272">
        <f t="shared" si="54"/>
        <v>0</v>
      </c>
      <c r="H272">
        <f t="shared" si="54"/>
        <v>0</v>
      </c>
      <c r="I272">
        <f t="shared" si="54"/>
        <v>0</v>
      </c>
      <c r="J272">
        <f t="shared" si="54"/>
        <v>2.25</v>
      </c>
      <c r="K272">
        <f t="shared" si="54"/>
        <v>2.25</v>
      </c>
      <c r="L272">
        <f t="shared" si="54"/>
        <v>2.25</v>
      </c>
      <c r="M272">
        <f t="shared" si="51"/>
        <v>102.25</v>
      </c>
      <c r="P272">
        <f t="shared" si="52"/>
        <v>3.3624999999999998</v>
      </c>
      <c r="Q272">
        <v>0.72499999999999998</v>
      </c>
      <c r="R272">
        <f t="shared" si="53"/>
        <v>99.294981311214798</v>
      </c>
      <c r="S272">
        <f t="shared" si="55"/>
        <v>1.6312499999999999</v>
      </c>
      <c r="T272">
        <f t="shared" si="49"/>
        <v>100.92623131121479</v>
      </c>
      <c r="U272">
        <f t="shared" si="50"/>
        <v>0</v>
      </c>
      <c r="V272">
        <f t="shared" si="50"/>
        <v>0</v>
      </c>
      <c r="W272">
        <f t="shared" si="50"/>
        <v>0</v>
      </c>
      <c r="X272">
        <f t="shared" si="50"/>
        <v>0</v>
      </c>
      <c r="Y272">
        <f t="shared" si="50"/>
        <v>0</v>
      </c>
      <c r="Z272">
        <f t="shared" si="50"/>
        <v>0</v>
      </c>
      <c r="AA272">
        <f t="shared" si="50"/>
        <v>0.9932991642875868</v>
      </c>
      <c r="AB272">
        <f t="shared" si="50"/>
        <v>0.96930877217622513</v>
      </c>
      <c r="AC272">
        <f t="shared" si="50"/>
        <v>0.94589780158694814</v>
      </c>
      <c r="AD272">
        <f t="shared" si="50"/>
        <v>0.92305225819658276</v>
      </c>
    </row>
    <row r="273" spans="2:30">
      <c r="B273">
        <v>3.375</v>
      </c>
      <c r="D273">
        <f t="shared" si="47"/>
        <v>0</v>
      </c>
      <c r="E273">
        <f t="shared" si="54"/>
        <v>0</v>
      </c>
      <c r="F273">
        <f t="shared" si="54"/>
        <v>0</v>
      </c>
      <c r="G273">
        <f t="shared" si="54"/>
        <v>0</v>
      </c>
      <c r="H273">
        <f t="shared" si="54"/>
        <v>0</v>
      </c>
      <c r="I273">
        <f t="shared" si="54"/>
        <v>0</v>
      </c>
      <c r="J273">
        <f t="shared" si="54"/>
        <v>2.25</v>
      </c>
      <c r="K273">
        <f t="shared" si="54"/>
        <v>2.25</v>
      </c>
      <c r="L273">
        <f t="shared" si="54"/>
        <v>2.25</v>
      </c>
      <c r="M273">
        <f t="shared" si="51"/>
        <v>102.25</v>
      </c>
      <c r="P273">
        <f t="shared" si="52"/>
        <v>3.375</v>
      </c>
      <c r="Q273">
        <v>0.75</v>
      </c>
      <c r="R273">
        <f t="shared" si="53"/>
        <v>99.300437996720078</v>
      </c>
      <c r="S273">
        <f t="shared" si="55"/>
        <v>1.6875</v>
      </c>
      <c r="T273">
        <f t="shared" si="49"/>
        <v>100.98793799672008</v>
      </c>
      <c r="U273">
        <f t="shared" si="50"/>
        <v>0</v>
      </c>
      <c r="V273">
        <f t="shared" si="50"/>
        <v>0</v>
      </c>
      <c r="W273">
        <f t="shared" si="50"/>
        <v>0</v>
      </c>
      <c r="X273">
        <f t="shared" si="50"/>
        <v>0</v>
      </c>
      <c r="Y273">
        <f t="shared" si="50"/>
        <v>0</v>
      </c>
      <c r="Z273">
        <f t="shared" si="50"/>
        <v>0</v>
      </c>
      <c r="AA273">
        <f t="shared" si="50"/>
        <v>0.99390647121212994</v>
      </c>
      <c r="AB273">
        <f t="shared" si="50"/>
        <v>0.96990141128287866</v>
      </c>
      <c r="AC273">
        <f t="shared" si="50"/>
        <v>0.94647612713625628</v>
      </c>
      <c r="AD273">
        <f t="shared" si="50"/>
        <v>0.92361661589290689</v>
      </c>
    </row>
    <row r="274" spans="2:30">
      <c r="B274">
        <v>3.3875000000000002</v>
      </c>
      <c r="D274">
        <f t="shared" si="47"/>
        <v>0</v>
      </c>
      <c r="E274">
        <f t="shared" si="54"/>
        <v>0</v>
      </c>
      <c r="F274">
        <f t="shared" si="54"/>
        <v>0</v>
      </c>
      <c r="G274">
        <f t="shared" si="54"/>
        <v>0</v>
      </c>
      <c r="H274">
        <f t="shared" si="54"/>
        <v>0</v>
      </c>
      <c r="I274">
        <f t="shared" si="54"/>
        <v>0</v>
      </c>
      <c r="J274">
        <f t="shared" si="54"/>
        <v>2.25</v>
      </c>
      <c r="K274">
        <f t="shared" si="54"/>
        <v>2.25</v>
      </c>
      <c r="L274">
        <f t="shared" si="54"/>
        <v>2.25</v>
      </c>
      <c r="M274">
        <f t="shared" si="51"/>
        <v>102.25</v>
      </c>
      <c r="P274">
        <f t="shared" si="52"/>
        <v>3.3875000000000002</v>
      </c>
      <c r="Q274">
        <v>0.77500000000000002</v>
      </c>
      <c r="R274">
        <f t="shared" si="53"/>
        <v>99.305932409929895</v>
      </c>
      <c r="S274">
        <f t="shared" si="55"/>
        <v>1.7437500000000001</v>
      </c>
      <c r="T274">
        <f t="shared" si="49"/>
        <v>101.0496824099299</v>
      </c>
      <c r="U274">
        <f t="shared" si="50"/>
        <v>0</v>
      </c>
      <c r="V274">
        <f t="shared" si="50"/>
        <v>0</v>
      </c>
      <c r="W274">
        <f t="shared" si="50"/>
        <v>0</v>
      </c>
      <c r="X274">
        <f t="shared" si="50"/>
        <v>0</v>
      </c>
      <c r="Y274">
        <f t="shared" si="50"/>
        <v>0</v>
      </c>
      <c r="Z274">
        <f t="shared" si="50"/>
        <v>0</v>
      </c>
      <c r="AA274">
        <f t="shared" si="50"/>
        <v>0.99451414944645966</v>
      </c>
      <c r="AB274">
        <f t="shared" si="50"/>
        <v>0.9704944127313585</v>
      </c>
      <c r="AC274">
        <f t="shared" si="50"/>
        <v>0.94705480627602689</v>
      </c>
      <c r="AD274">
        <f t="shared" si="50"/>
        <v>0.92418131863969444</v>
      </c>
    </row>
    <row r="275" spans="2:30">
      <c r="B275">
        <v>3.4</v>
      </c>
      <c r="D275">
        <f t="shared" si="47"/>
        <v>0</v>
      </c>
      <c r="E275">
        <f t="shared" si="54"/>
        <v>0</v>
      </c>
      <c r="F275">
        <f t="shared" si="54"/>
        <v>0</v>
      </c>
      <c r="G275">
        <f t="shared" si="54"/>
        <v>0</v>
      </c>
      <c r="H275">
        <f t="shared" si="54"/>
        <v>0</v>
      </c>
      <c r="I275">
        <f t="shared" si="54"/>
        <v>0</v>
      </c>
      <c r="J275">
        <f t="shared" si="54"/>
        <v>2.25</v>
      </c>
      <c r="K275">
        <f t="shared" si="54"/>
        <v>2.25</v>
      </c>
      <c r="L275">
        <f t="shared" si="54"/>
        <v>2.25</v>
      </c>
      <c r="M275">
        <f t="shared" si="51"/>
        <v>102.25</v>
      </c>
      <c r="P275">
        <f t="shared" si="52"/>
        <v>3.4</v>
      </c>
      <c r="Q275">
        <v>0.8</v>
      </c>
      <c r="R275">
        <f t="shared" si="53"/>
        <v>99.311464573911152</v>
      </c>
      <c r="S275">
        <f t="shared" si="55"/>
        <v>1.8</v>
      </c>
      <c r="T275">
        <f t="shared" si="49"/>
        <v>101.11146457391115</v>
      </c>
      <c r="U275">
        <f t="shared" ref="U275:AD290" si="56">IF((1/(1+$O$3/2)^((U$2-$P275)*2))&lt;=1,1/(1+$O$3/2)^((U$2-$P275)*2),0)</f>
        <v>0</v>
      </c>
      <c r="V275">
        <f t="shared" si="56"/>
        <v>0</v>
      </c>
      <c r="W275">
        <f t="shared" si="56"/>
        <v>0</v>
      </c>
      <c r="X275">
        <f t="shared" si="56"/>
        <v>0</v>
      </c>
      <c r="Y275">
        <f t="shared" si="56"/>
        <v>0</v>
      </c>
      <c r="Z275">
        <f t="shared" si="56"/>
        <v>0</v>
      </c>
      <c r="AA275">
        <f t="shared" si="56"/>
        <v>0.99512219921759615</v>
      </c>
      <c r="AB275">
        <f t="shared" si="56"/>
        <v>0.9710877767432019</v>
      </c>
      <c r="AC275">
        <f t="shared" si="56"/>
        <v>0.94763383922244637</v>
      </c>
      <c r="AD275">
        <f t="shared" si="56"/>
        <v>0.92474636664791043</v>
      </c>
    </row>
    <row r="276" spans="2:30">
      <c r="B276">
        <v>3.4125000000000001</v>
      </c>
      <c r="D276">
        <f t="shared" si="47"/>
        <v>0</v>
      </c>
      <c r="E276">
        <f t="shared" si="54"/>
        <v>0</v>
      </c>
      <c r="F276">
        <f t="shared" si="54"/>
        <v>0</v>
      </c>
      <c r="G276">
        <f t="shared" si="54"/>
        <v>0</v>
      </c>
      <c r="H276">
        <f t="shared" si="54"/>
        <v>0</v>
      </c>
      <c r="I276">
        <f t="shared" si="54"/>
        <v>0</v>
      </c>
      <c r="J276">
        <f t="shared" si="54"/>
        <v>2.25</v>
      </c>
      <c r="K276">
        <f t="shared" si="54"/>
        <v>2.25</v>
      </c>
      <c r="L276">
        <f t="shared" si="54"/>
        <v>2.25</v>
      </c>
      <c r="M276">
        <f t="shared" si="51"/>
        <v>102.25</v>
      </c>
      <c r="P276">
        <f t="shared" si="52"/>
        <v>3.4125000000000001</v>
      </c>
      <c r="Q276">
        <v>0.82499999999999996</v>
      </c>
      <c r="R276">
        <f t="shared" si="53"/>
        <v>99.317034511744751</v>
      </c>
      <c r="S276">
        <f t="shared" si="55"/>
        <v>1.85625</v>
      </c>
      <c r="T276">
        <f t="shared" si="49"/>
        <v>101.17328451174475</v>
      </c>
      <c r="U276">
        <f t="shared" si="56"/>
        <v>0</v>
      </c>
      <c r="V276">
        <f t="shared" si="56"/>
        <v>0</v>
      </c>
      <c r="W276">
        <f t="shared" si="56"/>
        <v>0</v>
      </c>
      <c r="X276">
        <f t="shared" si="56"/>
        <v>0</v>
      </c>
      <c r="Y276">
        <f t="shared" si="56"/>
        <v>0</v>
      </c>
      <c r="Z276">
        <f t="shared" si="56"/>
        <v>0</v>
      </c>
      <c r="AA276">
        <f t="shared" si="56"/>
        <v>0.99573062075269825</v>
      </c>
      <c r="AB276">
        <f t="shared" si="56"/>
        <v>0.97168150354008131</v>
      </c>
      <c r="AC276">
        <f t="shared" si="56"/>
        <v>0.94821322619183335</v>
      </c>
      <c r="AD276">
        <f t="shared" si="56"/>
        <v>0.92531176012864924</v>
      </c>
    </row>
    <row r="277" spans="2:30">
      <c r="B277">
        <v>3.4249999999999998</v>
      </c>
      <c r="D277">
        <f t="shared" si="47"/>
        <v>0</v>
      </c>
      <c r="E277">
        <f t="shared" si="54"/>
        <v>0</v>
      </c>
      <c r="F277">
        <f t="shared" si="54"/>
        <v>0</v>
      </c>
      <c r="G277">
        <f t="shared" si="54"/>
        <v>0</v>
      </c>
      <c r="H277">
        <f t="shared" si="54"/>
        <v>0</v>
      </c>
      <c r="I277">
        <f t="shared" si="54"/>
        <v>0</v>
      </c>
      <c r="J277">
        <f t="shared" si="54"/>
        <v>2.25</v>
      </c>
      <c r="K277">
        <f t="shared" si="54"/>
        <v>2.25</v>
      </c>
      <c r="L277">
        <f t="shared" si="54"/>
        <v>2.25</v>
      </c>
      <c r="M277">
        <f t="shared" si="51"/>
        <v>102.25</v>
      </c>
      <c r="P277">
        <f t="shared" si="52"/>
        <v>3.4249999999999998</v>
      </c>
      <c r="Q277">
        <v>0.85</v>
      </c>
      <c r="R277">
        <f t="shared" si="53"/>
        <v>99.322642246525845</v>
      </c>
      <c r="S277">
        <f t="shared" si="55"/>
        <v>1.9124999999999999</v>
      </c>
      <c r="T277">
        <f t="shared" si="49"/>
        <v>101.23514224652584</v>
      </c>
      <c r="U277">
        <f t="shared" si="56"/>
        <v>0</v>
      </c>
      <c r="V277">
        <f t="shared" si="56"/>
        <v>0</v>
      </c>
      <c r="W277">
        <f t="shared" si="56"/>
        <v>0</v>
      </c>
      <c r="X277">
        <f t="shared" si="56"/>
        <v>0</v>
      </c>
      <c r="Y277">
        <f t="shared" si="56"/>
        <v>0</v>
      </c>
      <c r="Z277">
        <f t="shared" si="56"/>
        <v>0</v>
      </c>
      <c r="AA277">
        <f t="shared" si="56"/>
        <v>0.99633941427906403</v>
      </c>
      <c r="AB277">
        <f t="shared" si="56"/>
        <v>0.97227559334380487</v>
      </c>
      <c r="AC277">
        <f t="shared" si="56"/>
        <v>0.94879296740063901</v>
      </c>
      <c r="AD277">
        <f t="shared" si="56"/>
        <v>0.9258774992931339</v>
      </c>
    </row>
    <row r="278" spans="2:30">
      <c r="B278">
        <v>3.4375</v>
      </c>
      <c r="D278">
        <f t="shared" si="47"/>
        <v>0</v>
      </c>
      <c r="E278">
        <f t="shared" si="54"/>
        <v>0</v>
      </c>
      <c r="F278">
        <f t="shared" si="54"/>
        <v>0</v>
      </c>
      <c r="G278">
        <f t="shared" si="54"/>
        <v>0</v>
      </c>
      <c r="H278">
        <f t="shared" si="54"/>
        <v>0</v>
      </c>
      <c r="I278">
        <f t="shared" si="54"/>
        <v>0</v>
      </c>
      <c r="J278">
        <f t="shared" si="54"/>
        <v>2.25</v>
      </c>
      <c r="K278">
        <f t="shared" si="54"/>
        <v>2.25</v>
      </c>
      <c r="L278">
        <f t="shared" si="54"/>
        <v>2.25</v>
      </c>
      <c r="M278">
        <f t="shared" si="51"/>
        <v>102.25</v>
      </c>
      <c r="P278">
        <f t="shared" si="52"/>
        <v>3.4375</v>
      </c>
      <c r="Q278">
        <v>0.875</v>
      </c>
      <c r="R278">
        <f t="shared" si="53"/>
        <v>99.328287801363572</v>
      </c>
      <c r="S278">
        <f t="shared" si="55"/>
        <v>1.96875</v>
      </c>
      <c r="T278">
        <f t="shared" si="49"/>
        <v>101.29703780136357</v>
      </c>
      <c r="U278">
        <f t="shared" si="56"/>
        <v>0</v>
      </c>
      <c r="V278">
        <f t="shared" si="56"/>
        <v>0</v>
      </c>
      <c r="W278">
        <f t="shared" si="56"/>
        <v>0</v>
      </c>
      <c r="X278">
        <f t="shared" si="56"/>
        <v>0</v>
      </c>
      <c r="Y278">
        <f t="shared" si="56"/>
        <v>0</v>
      </c>
      <c r="Z278">
        <f t="shared" si="56"/>
        <v>0</v>
      </c>
      <c r="AA278">
        <f t="shared" si="56"/>
        <v>0.99694858002413034</v>
      </c>
      <c r="AB278">
        <f t="shared" si="56"/>
        <v>0.97287004637631658</v>
      </c>
      <c r="AC278">
        <f t="shared" si="56"/>
        <v>0.94937306306544678</v>
      </c>
      <c r="AD278">
        <f t="shared" si="56"/>
        <v>0.9264435843527169</v>
      </c>
    </row>
    <row r="279" spans="2:30">
      <c r="B279">
        <v>3.45</v>
      </c>
      <c r="D279">
        <f t="shared" si="47"/>
        <v>0</v>
      </c>
      <c r="E279">
        <f t="shared" si="54"/>
        <v>0</v>
      </c>
      <c r="F279">
        <f t="shared" si="54"/>
        <v>0</v>
      </c>
      <c r="G279">
        <f t="shared" si="54"/>
        <v>0</v>
      </c>
      <c r="H279">
        <f t="shared" si="54"/>
        <v>0</v>
      </c>
      <c r="I279">
        <f t="shared" si="54"/>
        <v>0</v>
      </c>
      <c r="J279">
        <f t="shared" si="54"/>
        <v>2.25</v>
      </c>
      <c r="K279">
        <f t="shared" si="54"/>
        <v>2.25</v>
      </c>
      <c r="L279">
        <f t="shared" si="54"/>
        <v>2.25</v>
      </c>
      <c r="M279">
        <f t="shared" si="51"/>
        <v>102.25</v>
      </c>
      <c r="P279">
        <f t="shared" si="52"/>
        <v>3.45</v>
      </c>
      <c r="Q279">
        <v>0.9</v>
      </c>
      <c r="R279">
        <f t="shared" si="53"/>
        <v>99.333971199381281</v>
      </c>
      <c r="S279">
        <f t="shared" si="55"/>
        <v>2.0249999999999999</v>
      </c>
      <c r="T279">
        <f t="shared" si="49"/>
        <v>101.35897119938129</v>
      </c>
      <c r="U279">
        <f t="shared" si="56"/>
        <v>0</v>
      </c>
      <c r="V279">
        <f t="shared" si="56"/>
        <v>0</v>
      </c>
      <c r="W279">
        <f t="shared" si="56"/>
        <v>0</v>
      </c>
      <c r="X279">
        <f t="shared" si="56"/>
        <v>0</v>
      </c>
      <c r="Y279">
        <f t="shared" si="56"/>
        <v>0</v>
      </c>
      <c r="Z279">
        <f t="shared" si="56"/>
        <v>0</v>
      </c>
      <c r="AA279">
        <f t="shared" si="56"/>
        <v>0.99755811821547324</v>
      </c>
      <c r="AB279">
        <f t="shared" si="56"/>
        <v>0.9734648628596958</v>
      </c>
      <c r="AC279">
        <f t="shared" si="56"/>
        <v>0.94995351340297218</v>
      </c>
      <c r="AD279">
        <f t="shared" si="56"/>
        <v>0.92701001551887985</v>
      </c>
    </row>
    <row r="280" spans="2:30">
      <c r="B280">
        <v>3.4624999999999999</v>
      </c>
      <c r="D280">
        <f t="shared" si="47"/>
        <v>0</v>
      </c>
      <c r="E280">
        <f t="shared" si="54"/>
        <v>0</v>
      </c>
      <c r="F280">
        <f t="shared" si="54"/>
        <v>0</v>
      </c>
      <c r="G280">
        <f t="shared" si="54"/>
        <v>0</v>
      </c>
      <c r="H280">
        <f t="shared" si="54"/>
        <v>0</v>
      </c>
      <c r="I280">
        <f t="shared" si="54"/>
        <v>0</v>
      </c>
      <c r="J280">
        <f t="shared" si="54"/>
        <v>2.25</v>
      </c>
      <c r="K280">
        <f t="shared" si="54"/>
        <v>2.25</v>
      </c>
      <c r="L280">
        <f t="shared" si="54"/>
        <v>2.25</v>
      </c>
      <c r="M280">
        <f t="shared" si="51"/>
        <v>102.25</v>
      </c>
      <c r="P280">
        <f t="shared" si="52"/>
        <v>3.4624999999999999</v>
      </c>
      <c r="Q280">
        <v>0.92500000000000004</v>
      </c>
      <c r="R280">
        <f t="shared" si="53"/>
        <v>99.33969246371646</v>
      </c>
      <c r="S280">
        <f t="shared" si="55"/>
        <v>2.0812500000000003</v>
      </c>
      <c r="T280">
        <f t="shared" si="49"/>
        <v>101.42094246371646</v>
      </c>
      <c r="U280">
        <f t="shared" si="56"/>
        <v>0</v>
      </c>
      <c r="V280">
        <f t="shared" si="56"/>
        <v>0</v>
      </c>
      <c r="W280">
        <f t="shared" si="56"/>
        <v>0</v>
      </c>
      <c r="X280">
        <f t="shared" si="56"/>
        <v>0</v>
      </c>
      <c r="Y280">
        <f t="shared" si="56"/>
        <v>0</v>
      </c>
      <c r="Z280">
        <f t="shared" si="56"/>
        <v>0</v>
      </c>
      <c r="AA280">
        <f t="shared" si="56"/>
        <v>0.99816802908080771</v>
      </c>
      <c r="AB280">
        <f t="shared" si="56"/>
        <v>0.97406004301615767</v>
      </c>
      <c r="AC280">
        <f t="shared" si="56"/>
        <v>0.95053431863006366</v>
      </c>
      <c r="AD280">
        <f t="shared" si="56"/>
        <v>0.92757679300323359</v>
      </c>
    </row>
    <row r="281" spans="2:30">
      <c r="B281">
        <v>3.4750000000000001</v>
      </c>
      <c r="D281">
        <f t="shared" si="47"/>
        <v>0</v>
      </c>
      <c r="E281">
        <f t="shared" si="54"/>
        <v>0</v>
      </c>
      <c r="F281">
        <f t="shared" si="54"/>
        <v>0</v>
      </c>
      <c r="G281">
        <f t="shared" si="54"/>
        <v>0</v>
      </c>
      <c r="H281">
        <f t="shared" si="54"/>
        <v>0</v>
      </c>
      <c r="I281">
        <f t="shared" si="54"/>
        <v>0</v>
      </c>
      <c r="J281">
        <f t="shared" si="54"/>
        <v>2.25</v>
      </c>
      <c r="K281">
        <f t="shared" si="54"/>
        <v>2.25</v>
      </c>
      <c r="L281">
        <f t="shared" si="54"/>
        <v>2.25</v>
      </c>
      <c r="M281">
        <f t="shared" si="51"/>
        <v>102.25</v>
      </c>
      <c r="P281">
        <f t="shared" si="52"/>
        <v>3.4750000000000001</v>
      </c>
      <c r="Q281">
        <v>0.95</v>
      </c>
      <c r="R281">
        <f t="shared" si="53"/>
        <v>99.345451617520652</v>
      </c>
      <c r="S281">
        <f t="shared" si="55"/>
        <v>2.1374999999999997</v>
      </c>
      <c r="T281">
        <f t="shared" si="49"/>
        <v>101.48295161752065</v>
      </c>
      <c r="U281">
        <f t="shared" si="56"/>
        <v>0</v>
      </c>
      <c r="V281">
        <f t="shared" si="56"/>
        <v>0</v>
      </c>
      <c r="W281">
        <f t="shared" si="56"/>
        <v>0</v>
      </c>
      <c r="X281">
        <f t="shared" si="56"/>
        <v>0</v>
      </c>
      <c r="Y281">
        <f t="shared" si="56"/>
        <v>0</v>
      </c>
      <c r="Z281">
        <f t="shared" si="56"/>
        <v>0</v>
      </c>
      <c r="AA281">
        <f t="shared" si="56"/>
        <v>0.9987783128479879</v>
      </c>
      <c r="AB281">
        <f t="shared" si="56"/>
        <v>0.97465558706805366</v>
      </c>
      <c r="AC281">
        <f t="shared" si="56"/>
        <v>0.95111547896370197</v>
      </c>
      <c r="AD281">
        <f t="shared" si="56"/>
        <v>0.92814391701751819</v>
      </c>
    </row>
    <row r="282" spans="2:30">
      <c r="B282">
        <v>3.4874999999999998</v>
      </c>
      <c r="D282">
        <f t="shared" si="47"/>
        <v>0</v>
      </c>
      <c r="E282">
        <f t="shared" si="54"/>
        <v>0</v>
      </c>
      <c r="F282">
        <f t="shared" si="54"/>
        <v>0</v>
      </c>
      <c r="G282">
        <f t="shared" si="54"/>
        <v>0</v>
      </c>
      <c r="H282">
        <f t="shared" si="54"/>
        <v>0</v>
      </c>
      <c r="I282">
        <f t="shared" si="54"/>
        <v>0</v>
      </c>
      <c r="J282">
        <f t="shared" si="54"/>
        <v>2.25</v>
      </c>
      <c r="K282">
        <f t="shared" si="54"/>
        <v>2.25</v>
      </c>
      <c r="L282">
        <f t="shared" si="54"/>
        <v>2.25</v>
      </c>
      <c r="M282">
        <f t="shared" si="51"/>
        <v>102.25</v>
      </c>
      <c r="P282">
        <f t="shared" si="52"/>
        <v>3.4874999999999998</v>
      </c>
      <c r="Q282">
        <v>0.97499999999999998</v>
      </c>
      <c r="R282">
        <f t="shared" si="53"/>
        <v>99.351248683959724</v>
      </c>
      <c r="S282">
        <f t="shared" si="55"/>
        <v>2.1937500000000001</v>
      </c>
      <c r="T282">
        <f t="shared" si="49"/>
        <v>101.54499868395972</v>
      </c>
      <c r="U282">
        <f t="shared" si="56"/>
        <v>0</v>
      </c>
      <c r="V282">
        <f t="shared" si="56"/>
        <v>0</v>
      </c>
      <c r="W282">
        <f t="shared" si="56"/>
        <v>0</v>
      </c>
      <c r="X282">
        <f t="shared" si="56"/>
        <v>0</v>
      </c>
      <c r="Y282">
        <f t="shared" si="56"/>
        <v>0</v>
      </c>
      <c r="Z282">
        <f t="shared" si="56"/>
        <v>0</v>
      </c>
      <c r="AA282">
        <f t="shared" si="56"/>
        <v>0.99938896974500779</v>
      </c>
      <c r="AB282">
        <f t="shared" si="56"/>
        <v>0.97525149523787025</v>
      </c>
      <c r="AC282">
        <f t="shared" si="56"/>
        <v>0.95169699462100066</v>
      </c>
      <c r="AD282">
        <f t="shared" si="56"/>
        <v>0.92871138777360385</v>
      </c>
    </row>
    <row r="283" spans="2:30">
      <c r="B283">
        <v>3.5</v>
      </c>
      <c r="D283">
        <f t="shared" si="47"/>
        <v>0</v>
      </c>
      <c r="E283">
        <f t="shared" si="54"/>
        <v>0</v>
      </c>
      <c r="F283">
        <f t="shared" si="54"/>
        <v>0</v>
      </c>
      <c r="G283">
        <f t="shared" si="54"/>
        <v>0</v>
      </c>
      <c r="H283">
        <f t="shared" si="54"/>
        <v>0</v>
      </c>
      <c r="I283">
        <f t="shared" si="54"/>
        <v>0</v>
      </c>
      <c r="J283">
        <f t="shared" si="54"/>
        <v>2.25</v>
      </c>
      <c r="K283">
        <f t="shared" si="54"/>
        <v>2.25</v>
      </c>
      <c r="L283">
        <f t="shared" si="54"/>
        <v>2.25</v>
      </c>
      <c r="M283">
        <f t="shared" si="51"/>
        <v>102.25</v>
      </c>
      <c r="P283">
        <f t="shared" si="52"/>
        <v>3.5</v>
      </c>
      <c r="Q283">
        <v>1</v>
      </c>
      <c r="R283">
        <f t="shared" si="53"/>
        <v>99.357083686213542</v>
      </c>
      <c r="S283">
        <f t="shared" si="55"/>
        <v>2.25</v>
      </c>
      <c r="T283">
        <f t="shared" si="49"/>
        <v>101.60708368621354</v>
      </c>
      <c r="U283">
        <f t="shared" si="56"/>
        <v>0</v>
      </c>
      <c r="V283">
        <f t="shared" si="56"/>
        <v>0</v>
      </c>
      <c r="W283">
        <f t="shared" si="56"/>
        <v>0</v>
      </c>
      <c r="X283">
        <f t="shared" si="56"/>
        <v>0</v>
      </c>
      <c r="Y283">
        <f t="shared" si="56"/>
        <v>0</v>
      </c>
      <c r="Z283">
        <f t="shared" si="56"/>
        <v>0</v>
      </c>
      <c r="AA283">
        <f t="shared" si="56"/>
        <v>1</v>
      </c>
      <c r="AB283">
        <f t="shared" si="56"/>
        <v>0.97584776774823123</v>
      </c>
      <c r="AC283">
        <f t="shared" si="56"/>
        <v>0.95227886581920584</v>
      </c>
      <c r="AD283">
        <f t="shared" si="56"/>
        <v>0.92927920548348952</v>
      </c>
    </row>
    <row r="284" spans="2:30">
      <c r="B284">
        <v>3.5125000000000002</v>
      </c>
      <c r="D284">
        <f t="shared" si="47"/>
        <v>0</v>
      </c>
      <c r="E284">
        <f t="shared" si="54"/>
        <v>0</v>
      </c>
      <c r="F284">
        <f t="shared" si="54"/>
        <v>0</v>
      </c>
      <c r="G284">
        <f t="shared" si="54"/>
        <v>0</v>
      </c>
      <c r="H284">
        <f t="shared" si="54"/>
        <v>0</v>
      </c>
      <c r="I284">
        <f t="shared" si="54"/>
        <v>0</v>
      </c>
      <c r="J284">
        <f t="shared" si="54"/>
        <v>0</v>
      </c>
      <c r="K284">
        <f t="shared" si="54"/>
        <v>2.25</v>
      </c>
      <c r="L284">
        <f t="shared" si="54"/>
        <v>2.25</v>
      </c>
      <c r="M284">
        <f t="shared" si="51"/>
        <v>102.25</v>
      </c>
      <c r="P284">
        <f t="shared" si="52"/>
        <v>3.5125000000000002</v>
      </c>
      <c r="Q284">
        <v>2.5000000000000001E-2</v>
      </c>
      <c r="R284">
        <f t="shared" si="53"/>
        <v>99.361580988833424</v>
      </c>
      <c r="S284">
        <f t="shared" si="55"/>
        <v>5.6250000000000001E-2</v>
      </c>
      <c r="T284">
        <f t="shared" si="49"/>
        <v>99.41783098883343</v>
      </c>
      <c r="U284">
        <f t="shared" si="56"/>
        <v>0</v>
      </c>
      <c r="V284">
        <f t="shared" si="56"/>
        <v>0</v>
      </c>
      <c r="W284">
        <f t="shared" si="56"/>
        <v>0</v>
      </c>
      <c r="X284">
        <f t="shared" si="56"/>
        <v>0</v>
      </c>
      <c r="Y284">
        <f t="shared" si="56"/>
        <v>0</v>
      </c>
      <c r="Z284">
        <f t="shared" si="56"/>
        <v>0</v>
      </c>
      <c r="AA284">
        <f t="shared" si="56"/>
        <v>0</v>
      </c>
      <c r="AB284">
        <f t="shared" si="56"/>
        <v>0.97644440482189543</v>
      </c>
      <c r="AC284">
        <f t="shared" si="56"/>
        <v>0.95286109277569686</v>
      </c>
      <c r="AD284">
        <f t="shared" si="56"/>
        <v>0.92984737035930409</v>
      </c>
    </row>
    <row r="285" spans="2:30">
      <c r="B285">
        <v>3.5249999999999999</v>
      </c>
      <c r="D285">
        <f t="shared" si="47"/>
        <v>0</v>
      </c>
      <c r="E285">
        <f t="shared" si="54"/>
        <v>0</v>
      </c>
      <c r="F285">
        <f t="shared" si="54"/>
        <v>0</v>
      </c>
      <c r="G285">
        <f t="shared" si="54"/>
        <v>0</v>
      </c>
      <c r="H285">
        <f t="shared" si="54"/>
        <v>0</v>
      </c>
      <c r="I285">
        <f t="shared" si="54"/>
        <v>0</v>
      </c>
      <c r="J285">
        <f t="shared" si="54"/>
        <v>0</v>
      </c>
      <c r="K285">
        <f t="shared" si="54"/>
        <v>2.25</v>
      </c>
      <c r="L285">
        <f t="shared" si="54"/>
        <v>2.25</v>
      </c>
      <c r="M285">
        <f t="shared" si="51"/>
        <v>102.25</v>
      </c>
      <c r="P285">
        <f t="shared" si="52"/>
        <v>3.5249999999999999</v>
      </c>
      <c r="Q285">
        <v>0.05</v>
      </c>
      <c r="R285">
        <f t="shared" si="53"/>
        <v>99.366115432587478</v>
      </c>
      <c r="S285">
        <f t="shared" si="55"/>
        <v>0.1125</v>
      </c>
      <c r="T285">
        <f t="shared" si="49"/>
        <v>99.478615432587475</v>
      </c>
      <c r="U285">
        <f t="shared" si="56"/>
        <v>0</v>
      </c>
      <c r="V285">
        <f t="shared" si="56"/>
        <v>0</v>
      </c>
      <c r="W285">
        <f t="shared" si="56"/>
        <v>0</v>
      </c>
      <c r="X285">
        <f t="shared" si="56"/>
        <v>0</v>
      </c>
      <c r="Y285">
        <f t="shared" si="56"/>
        <v>0</v>
      </c>
      <c r="Z285">
        <f t="shared" si="56"/>
        <v>0</v>
      </c>
      <c r="AA285">
        <f t="shared" si="56"/>
        <v>0</v>
      </c>
      <c r="AB285">
        <f t="shared" si="56"/>
        <v>0.9770414066817581</v>
      </c>
      <c r="AC285">
        <f t="shared" si="56"/>
        <v>0.95344367570798538</v>
      </c>
      <c r="AD285">
        <f t="shared" si="56"/>
        <v>0.9304158826133061</v>
      </c>
    </row>
    <row r="286" spans="2:30">
      <c r="B286">
        <v>3.5375000000000001</v>
      </c>
      <c r="D286">
        <f t="shared" si="47"/>
        <v>0</v>
      </c>
      <c r="E286">
        <f t="shared" si="54"/>
        <v>0</v>
      </c>
      <c r="F286">
        <f t="shared" si="54"/>
        <v>0</v>
      </c>
      <c r="G286">
        <f t="shared" si="54"/>
        <v>0</v>
      </c>
      <c r="H286">
        <f t="shared" si="54"/>
        <v>0</v>
      </c>
      <c r="I286">
        <f t="shared" si="54"/>
        <v>0</v>
      </c>
      <c r="J286">
        <f t="shared" si="54"/>
        <v>0</v>
      </c>
      <c r="K286">
        <f t="shared" si="54"/>
        <v>2.25</v>
      </c>
      <c r="L286">
        <f t="shared" si="54"/>
        <v>2.25</v>
      </c>
      <c r="M286">
        <f t="shared" si="51"/>
        <v>102.25</v>
      </c>
      <c r="P286">
        <f t="shared" si="52"/>
        <v>3.5375000000000001</v>
      </c>
      <c r="Q286">
        <v>7.4999999999999997E-2</v>
      </c>
      <c r="R286">
        <f t="shared" si="53"/>
        <v>99.370687040183924</v>
      </c>
      <c r="S286">
        <f t="shared" si="55"/>
        <v>0.16874999999999998</v>
      </c>
      <c r="T286">
        <f t="shared" si="49"/>
        <v>99.539437040183927</v>
      </c>
      <c r="U286">
        <f t="shared" si="56"/>
        <v>0</v>
      </c>
      <c r="V286">
        <f t="shared" si="56"/>
        <v>0</v>
      </c>
      <c r="W286">
        <f t="shared" si="56"/>
        <v>0</v>
      </c>
      <c r="X286">
        <f t="shared" si="56"/>
        <v>0</v>
      </c>
      <c r="Y286">
        <f t="shared" si="56"/>
        <v>0</v>
      </c>
      <c r="Z286">
        <f t="shared" si="56"/>
        <v>0</v>
      </c>
      <c r="AA286">
        <f t="shared" si="56"/>
        <v>0</v>
      </c>
      <c r="AB286">
        <f t="shared" si="56"/>
        <v>0.97763877355085138</v>
      </c>
      <c r="AC286">
        <f t="shared" si="56"/>
        <v>0.95402661483371676</v>
      </c>
      <c r="AD286">
        <f t="shared" si="56"/>
        <v>0.9309847424578841</v>
      </c>
    </row>
    <row r="287" spans="2:30">
      <c r="B287">
        <v>3.55</v>
      </c>
      <c r="D287">
        <f t="shared" si="47"/>
        <v>0</v>
      </c>
      <c r="E287">
        <f t="shared" si="54"/>
        <v>0</v>
      </c>
      <c r="F287">
        <f t="shared" si="54"/>
        <v>0</v>
      </c>
      <c r="G287">
        <f t="shared" si="54"/>
        <v>0</v>
      </c>
      <c r="H287">
        <f t="shared" si="54"/>
        <v>0</v>
      </c>
      <c r="I287">
        <f t="shared" si="54"/>
        <v>0</v>
      </c>
      <c r="J287">
        <f t="shared" si="54"/>
        <v>0</v>
      </c>
      <c r="K287">
        <f t="shared" si="54"/>
        <v>2.25</v>
      </c>
      <c r="L287">
        <f t="shared" si="54"/>
        <v>2.25</v>
      </c>
      <c r="M287">
        <f t="shared" si="51"/>
        <v>102.25</v>
      </c>
      <c r="P287">
        <f t="shared" si="52"/>
        <v>3.55</v>
      </c>
      <c r="Q287">
        <v>0.1</v>
      </c>
      <c r="R287">
        <f t="shared" si="53"/>
        <v>99.375295834344882</v>
      </c>
      <c r="S287">
        <f t="shared" si="55"/>
        <v>0.22500000000000001</v>
      </c>
      <c r="T287">
        <f t="shared" si="49"/>
        <v>99.600295834344877</v>
      </c>
      <c r="U287">
        <f t="shared" si="56"/>
        <v>0</v>
      </c>
      <c r="V287">
        <f t="shared" si="56"/>
        <v>0</v>
      </c>
      <c r="W287">
        <f t="shared" si="56"/>
        <v>0</v>
      </c>
      <c r="X287">
        <f t="shared" si="56"/>
        <v>0</v>
      </c>
      <c r="Y287">
        <f t="shared" si="56"/>
        <v>0</v>
      </c>
      <c r="Z287">
        <f t="shared" si="56"/>
        <v>0</v>
      </c>
      <c r="AA287">
        <f t="shared" si="56"/>
        <v>0</v>
      </c>
      <c r="AB287">
        <f t="shared" si="56"/>
        <v>0.97823650565234266</v>
      </c>
      <c r="AC287">
        <f t="shared" si="56"/>
        <v>0.95460991037066867</v>
      </c>
      <c r="AD287">
        <f t="shared" si="56"/>
        <v>0.93155395010555608</v>
      </c>
    </row>
    <row r="288" spans="2:30">
      <c r="B288">
        <v>3.5625</v>
      </c>
      <c r="D288">
        <f t="shared" si="47"/>
        <v>0</v>
      </c>
      <c r="E288">
        <f t="shared" si="54"/>
        <v>0</v>
      </c>
      <c r="F288">
        <f t="shared" si="54"/>
        <v>0</v>
      </c>
      <c r="G288">
        <f t="shared" si="54"/>
        <v>0</v>
      </c>
      <c r="H288">
        <f t="shared" si="54"/>
        <v>0</v>
      </c>
      <c r="I288">
        <f t="shared" si="54"/>
        <v>0</v>
      </c>
      <c r="J288">
        <f t="shared" si="54"/>
        <v>0</v>
      </c>
      <c r="K288">
        <f t="shared" si="54"/>
        <v>2.25</v>
      </c>
      <c r="L288">
        <f t="shared" si="54"/>
        <v>2.25</v>
      </c>
      <c r="M288">
        <f t="shared" si="51"/>
        <v>102.25</v>
      </c>
      <c r="P288">
        <f t="shared" si="52"/>
        <v>3.5625</v>
      </c>
      <c r="Q288">
        <v>0.125</v>
      </c>
      <c r="R288">
        <f t="shared" si="53"/>
        <v>99.379941837806385</v>
      </c>
      <c r="S288">
        <f t="shared" si="55"/>
        <v>0.28125</v>
      </c>
      <c r="T288">
        <f t="shared" si="49"/>
        <v>99.661191837806385</v>
      </c>
      <c r="U288">
        <f t="shared" si="56"/>
        <v>0</v>
      </c>
      <c r="V288">
        <f t="shared" si="56"/>
        <v>0</v>
      </c>
      <c r="W288">
        <f t="shared" si="56"/>
        <v>0</v>
      </c>
      <c r="X288">
        <f t="shared" si="56"/>
        <v>0</v>
      </c>
      <c r="Y288">
        <f t="shared" si="56"/>
        <v>0</v>
      </c>
      <c r="Z288">
        <f t="shared" si="56"/>
        <v>0</v>
      </c>
      <c r="AA288">
        <f t="shared" si="56"/>
        <v>0</v>
      </c>
      <c r="AB288">
        <f t="shared" si="56"/>
        <v>0.97883460320953708</v>
      </c>
      <c r="AC288">
        <f t="shared" si="56"/>
        <v>0.95519356253675247</v>
      </c>
      <c r="AD288">
        <f t="shared" si="56"/>
        <v>0.93212350576897052</v>
      </c>
    </row>
    <row r="289" spans="2:30">
      <c r="B289">
        <v>3.5750000000000002</v>
      </c>
      <c r="D289">
        <f t="shared" si="47"/>
        <v>0</v>
      </c>
      <c r="E289">
        <f t="shared" si="54"/>
        <v>0</v>
      </c>
      <c r="F289">
        <f t="shared" si="54"/>
        <v>0</v>
      </c>
      <c r="G289">
        <f t="shared" si="54"/>
        <v>0</v>
      </c>
      <c r="H289">
        <f t="shared" si="54"/>
        <v>0</v>
      </c>
      <c r="I289">
        <f t="shared" si="54"/>
        <v>0</v>
      </c>
      <c r="J289">
        <f t="shared" si="54"/>
        <v>0</v>
      </c>
      <c r="K289">
        <f t="shared" si="54"/>
        <v>2.25</v>
      </c>
      <c r="L289">
        <f t="shared" si="54"/>
        <v>2.25</v>
      </c>
      <c r="M289">
        <f t="shared" si="51"/>
        <v>102.25</v>
      </c>
      <c r="P289">
        <f t="shared" si="52"/>
        <v>3.5750000000000002</v>
      </c>
      <c r="Q289">
        <v>0.15</v>
      </c>
      <c r="R289">
        <f t="shared" si="53"/>
        <v>99.38462507331829</v>
      </c>
      <c r="S289">
        <f t="shared" si="55"/>
        <v>0.33749999999999997</v>
      </c>
      <c r="T289">
        <f t="shared" si="49"/>
        <v>99.722125073318296</v>
      </c>
      <c r="U289">
        <f t="shared" si="56"/>
        <v>0</v>
      </c>
      <c r="V289">
        <f t="shared" si="56"/>
        <v>0</v>
      </c>
      <c r="W289">
        <f t="shared" si="56"/>
        <v>0</v>
      </c>
      <c r="X289">
        <f t="shared" si="56"/>
        <v>0</v>
      </c>
      <c r="Y289">
        <f t="shared" si="56"/>
        <v>0</v>
      </c>
      <c r="Z289">
        <f t="shared" si="56"/>
        <v>0</v>
      </c>
      <c r="AA289">
        <f t="shared" si="56"/>
        <v>0</v>
      </c>
      <c r="AB289">
        <f t="shared" si="56"/>
        <v>0.97943306644587558</v>
      </c>
      <c r="AC289">
        <f t="shared" si="56"/>
        <v>0.95577757155001264</v>
      </c>
      <c r="AD289">
        <f t="shared" si="56"/>
        <v>0.93269340966090508</v>
      </c>
    </row>
    <row r="290" spans="2:30">
      <c r="B290">
        <v>3.5874999999999999</v>
      </c>
      <c r="D290">
        <f t="shared" si="47"/>
        <v>0</v>
      </c>
      <c r="E290">
        <f t="shared" si="54"/>
        <v>0</v>
      </c>
      <c r="F290">
        <f t="shared" si="54"/>
        <v>0</v>
      </c>
      <c r="G290">
        <f t="shared" si="54"/>
        <v>0</v>
      </c>
      <c r="H290">
        <f t="shared" si="54"/>
        <v>0</v>
      </c>
      <c r="I290">
        <f t="shared" si="54"/>
        <v>0</v>
      </c>
      <c r="J290">
        <f t="shared" si="54"/>
        <v>0</v>
      </c>
      <c r="K290">
        <f t="shared" si="54"/>
        <v>2.25</v>
      </c>
      <c r="L290">
        <f t="shared" si="54"/>
        <v>2.25</v>
      </c>
      <c r="M290">
        <f t="shared" si="51"/>
        <v>102.25</v>
      </c>
      <c r="P290">
        <f t="shared" si="52"/>
        <v>3.5874999999999999</v>
      </c>
      <c r="Q290">
        <v>0.17499999999999999</v>
      </c>
      <c r="R290">
        <f t="shared" si="53"/>
        <v>99.389345563644483</v>
      </c>
      <c r="S290">
        <f t="shared" si="55"/>
        <v>0.39374999999999999</v>
      </c>
      <c r="T290">
        <f t="shared" si="49"/>
        <v>99.78309556364448</v>
      </c>
      <c r="U290">
        <f t="shared" si="56"/>
        <v>0</v>
      </c>
      <c r="V290">
        <f t="shared" si="56"/>
        <v>0</v>
      </c>
      <c r="W290">
        <f t="shared" si="56"/>
        <v>0</v>
      </c>
      <c r="X290">
        <f t="shared" si="56"/>
        <v>0</v>
      </c>
      <c r="Y290">
        <f t="shared" si="56"/>
        <v>0</v>
      </c>
      <c r="Z290">
        <f t="shared" si="56"/>
        <v>0</v>
      </c>
      <c r="AA290">
        <f t="shared" si="56"/>
        <v>0</v>
      </c>
      <c r="AB290">
        <f t="shared" si="56"/>
        <v>0.98003189558493531</v>
      </c>
      <c r="AC290">
        <f t="shared" si="56"/>
        <v>0.95636193762862676</v>
      </c>
      <c r="AD290">
        <f t="shared" si="56"/>
        <v>0.93326366199426847</v>
      </c>
    </row>
    <row r="291" spans="2:30">
      <c r="B291">
        <v>3.6</v>
      </c>
      <c r="D291">
        <f t="shared" si="47"/>
        <v>0</v>
      </c>
      <c r="E291">
        <f t="shared" si="54"/>
        <v>0</v>
      </c>
      <c r="F291">
        <f t="shared" si="54"/>
        <v>0</v>
      </c>
      <c r="G291">
        <f t="shared" si="54"/>
        <v>0</v>
      </c>
      <c r="H291">
        <f t="shared" si="54"/>
        <v>0</v>
      </c>
      <c r="I291">
        <f t="shared" si="54"/>
        <v>0</v>
      </c>
      <c r="J291">
        <f t="shared" si="54"/>
        <v>0</v>
      </c>
      <c r="K291">
        <f t="shared" si="54"/>
        <v>2.25</v>
      </c>
      <c r="L291">
        <f t="shared" si="54"/>
        <v>2.25</v>
      </c>
      <c r="M291">
        <f t="shared" si="51"/>
        <v>102.25</v>
      </c>
      <c r="P291">
        <f t="shared" si="52"/>
        <v>3.6</v>
      </c>
      <c r="Q291">
        <v>0.2</v>
      </c>
      <c r="R291">
        <f t="shared" si="53"/>
        <v>99.394103331562633</v>
      </c>
      <c r="S291">
        <f t="shared" si="55"/>
        <v>0.45</v>
      </c>
      <c r="T291">
        <f t="shared" si="49"/>
        <v>99.844103331562636</v>
      </c>
      <c r="U291">
        <f t="shared" ref="U291:AD306" si="57">IF((1/(1+$O$3/2)^((U$2-$P291)*2))&lt;=1,1/(1+$O$3/2)^((U$2-$P291)*2),0)</f>
        <v>0</v>
      </c>
      <c r="V291">
        <f t="shared" si="57"/>
        <v>0</v>
      </c>
      <c r="W291">
        <f t="shared" si="57"/>
        <v>0</v>
      </c>
      <c r="X291">
        <f t="shared" si="57"/>
        <v>0</v>
      </c>
      <c r="Y291">
        <f t="shared" si="57"/>
        <v>0</v>
      </c>
      <c r="Z291">
        <f t="shared" si="57"/>
        <v>0</v>
      </c>
      <c r="AA291">
        <f t="shared" si="57"/>
        <v>0</v>
      </c>
      <c r="AB291">
        <f t="shared" si="57"/>
        <v>0.98063109085043088</v>
      </c>
      <c r="AC291">
        <f t="shared" si="57"/>
        <v>0.95694666099090597</v>
      </c>
      <c r="AD291">
        <f t="shared" si="57"/>
        <v>0.93383426298209904</v>
      </c>
    </row>
    <row r="292" spans="2:30">
      <c r="B292">
        <v>3.6124999999999998</v>
      </c>
      <c r="D292">
        <f t="shared" si="47"/>
        <v>0</v>
      </c>
      <c r="E292">
        <f t="shared" si="54"/>
        <v>0</v>
      </c>
      <c r="F292">
        <f t="shared" si="54"/>
        <v>0</v>
      </c>
      <c r="G292">
        <f t="shared" si="54"/>
        <v>0</v>
      </c>
      <c r="H292">
        <f t="shared" si="54"/>
        <v>0</v>
      </c>
      <c r="I292">
        <f t="shared" si="54"/>
        <v>0</v>
      </c>
      <c r="J292">
        <f t="shared" si="54"/>
        <v>0</v>
      </c>
      <c r="K292">
        <f t="shared" si="54"/>
        <v>2.25</v>
      </c>
      <c r="L292">
        <f t="shared" si="54"/>
        <v>2.25</v>
      </c>
      <c r="M292">
        <f t="shared" si="51"/>
        <v>102.25</v>
      </c>
      <c r="P292">
        <f t="shared" si="52"/>
        <v>3.6124999999999998</v>
      </c>
      <c r="Q292">
        <v>0.22500000000000001</v>
      </c>
      <c r="R292">
        <f t="shared" si="53"/>
        <v>99.39889839986445</v>
      </c>
      <c r="S292">
        <f t="shared" si="55"/>
        <v>0.50624999999999998</v>
      </c>
      <c r="T292">
        <f t="shared" si="49"/>
        <v>99.905148399864444</v>
      </c>
      <c r="U292">
        <f t="shared" si="57"/>
        <v>0</v>
      </c>
      <c r="V292">
        <f t="shared" si="57"/>
        <v>0</v>
      </c>
      <c r="W292">
        <f t="shared" si="57"/>
        <v>0</v>
      </c>
      <c r="X292">
        <f t="shared" si="57"/>
        <v>0</v>
      </c>
      <c r="Y292">
        <f t="shared" si="57"/>
        <v>0</v>
      </c>
      <c r="Z292">
        <f t="shared" si="57"/>
        <v>0</v>
      </c>
      <c r="AA292">
        <f t="shared" si="57"/>
        <v>0</v>
      </c>
      <c r="AB292">
        <f t="shared" si="57"/>
        <v>0.98123065246621366</v>
      </c>
      <c r="AC292">
        <f t="shared" si="57"/>
        <v>0.95753174185529499</v>
      </c>
      <c r="AD292">
        <f t="shared" si="57"/>
        <v>0.93440521283756517</v>
      </c>
    </row>
    <row r="293" spans="2:30">
      <c r="B293">
        <v>3.625</v>
      </c>
      <c r="D293">
        <f t="shared" si="47"/>
        <v>0</v>
      </c>
      <c r="E293">
        <f t="shared" si="54"/>
        <v>0</v>
      </c>
      <c r="F293">
        <f t="shared" si="54"/>
        <v>0</v>
      </c>
      <c r="G293">
        <f t="shared" si="54"/>
        <v>0</v>
      </c>
      <c r="H293">
        <f t="shared" si="54"/>
        <v>0</v>
      </c>
      <c r="I293">
        <f t="shared" si="54"/>
        <v>0</v>
      </c>
      <c r="J293">
        <f t="shared" ref="E293:L325" si="58">IF($B293&lt;=J$2,100*$D$1/2,0)</f>
        <v>0</v>
      </c>
      <c r="K293">
        <f t="shared" si="58"/>
        <v>2.25</v>
      </c>
      <c r="L293">
        <f t="shared" si="58"/>
        <v>2.25</v>
      </c>
      <c r="M293">
        <f t="shared" si="51"/>
        <v>102.25</v>
      </c>
      <c r="P293">
        <f t="shared" si="52"/>
        <v>3.625</v>
      </c>
      <c r="Q293">
        <v>0.25</v>
      </c>
      <c r="R293">
        <f t="shared" si="53"/>
        <v>99.403730791355514</v>
      </c>
      <c r="S293">
        <f t="shared" si="55"/>
        <v>0.5625</v>
      </c>
      <c r="T293">
        <f t="shared" si="49"/>
        <v>99.966230791355514</v>
      </c>
      <c r="U293">
        <f t="shared" si="57"/>
        <v>0</v>
      </c>
      <c r="V293">
        <f t="shared" si="57"/>
        <v>0</v>
      </c>
      <c r="W293">
        <f t="shared" si="57"/>
        <v>0</v>
      </c>
      <c r="X293">
        <f t="shared" si="57"/>
        <v>0</v>
      </c>
      <c r="Y293">
        <f t="shared" si="57"/>
        <v>0</v>
      </c>
      <c r="Z293">
        <f t="shared" si="57"/>
        <v>0</v>
      </c>
      <c r="AA293">
        <f t="shared" si="57"/>
        <v>0</v>
      </c>
      <c r="AB293">
        <f t="shared" si="57"/>
        <v>0.98183058065627116</v>
      </c>
      <c r="AC293">
        <f t="shared" si="57"/>
        <v>0.95811718044037208</v>
      </c>
      <c r="AD293">
        <f t="shared" si="57"/>
        <v>0.93497651177396635</v>
      </c>
    </row>
    <row r="294" spans="2:30">
      <c r="B294">
        <v>3.6375000000000002</v>
      </c>
      <c r="D294">
        <f t="shared" ref="D294:D357" si="59">IF($B294&lt;=D$2,100*$D$1/2,0)</f>
        <v>0</v>
      </c>
      <c r="E294">
        <f t="shared" si="58"/>
        <v>0</v>
      </c>
      <c r="F294">
        <f t="shared" si="58"/>
        <v>0</v>
      </c>
      <c r="G294">
        <f t="shared" si="58"/>
        <v>0</v>
      </c>
      <c r="H294">
        <f t="shared" si="58"/>
        <v>0</v>
      </c>
      <c r="I294">
        <f t="shared" si="58"/>
        <v>0</v>
      </c>
      <c r="J294">
        <f t="shared" si="58"/>
        <v>0</v>
      </c>
      <c r="K294">
        <f t="shared" si="58"/>
        <v>2.25</v>
      </c>
      <c r="L294">
        <f t="shared" si="58"/>
        <v>2.25</v>
      </c>
      <c r="M294">
        <f t="shared" si="51"/>
        <v>102.25</v>
      </c>
      <c r="P294">
        <f t="shared" si="52"/>
        <v>3.6375000000000002</v>
      </c>
      <c r="Q294">
        <v>0.27500000000000002</v>
      </c>
      <c r="R294">
        <f t="shared" si="53"/>
        <v>99.408600528855345</v>
      </c>
      <c r="S294">
        <f t="shared" si="55"/>
        <v>0.61875000000000002</v>
      </c>
      <c r="T294">
        <f t="shared" si="49"/>
        <v>100.02735052885535</v>
      </c>
      <c r="U294">
        <f t="shared" si="57"/>
        <v>0</v>
      </c>
      <c r="V294">
        <f t="shared" si="57"/>
        <v>0</v>
      </c>
      <c r="W294">
        <f t="shared" si="57"/>
        <v>0</v>
      </c>
      <c r="X294">
        <f t="shared" si="57"/>
        <v>0</v>
      </c>
      <c r="Y294">
        <f t="shared" si="57"/>
        <v>0</v>
      </c>
      <c r="Z294">
        <f t="shared" si="57"/>
        <v>0</v>
      </c>
      <c r="AA294">
        <f t="shared" si="57"/>
        <v>0</v>
      </c>
      <c r="AB294">
        <f t="shared" si="57"/>
        <v>0.98243087564472875</v>
      </c>
      <c r="AC294">
        <f t="shared" si="57"/>
        <v>0.95870297696484874</v>
      </c>
      <c r="AD294">
        <f t="shared" si="57"/>
        <v>0.93554816000473162</v>
      </c>
    </row>
    <row r="295" spans="2:30">
      <c r="B295">
        <v>3.65</v>
      </c>
      <c r="D295">
        <f t="shared" si="59"/>
        <v>0</v>
      </c>
      <c r="E295">
        <f t="shared" si="58"/>
        <v>0</v>
      </c>
      <c r="F295">
        <f t="shared" si="58"/>
        <v>0</v>
      </c>
      <c r="G295">
        <f t="shared" si="58"/>
        <v>0</v>
      </c>
      <c r="H295">
        <f t="shared" si="58"/>
        <v>0</v>
      </c>
      <c r="I295">
        <f t="shared" si="58"/>
        <v>0</v>
      </c>
      <c r="J295">
        <f t="shared" si="58"/>
        <v>0</v>
      </c>
      <c r="K295">
        <f t="shared" si="58"/>
        <v>2.25</v>
      </c>
      <c r="L295">
        <f t="shared" si="58"/>
        <v>2.25</v>
      </c>
      <c r="M295">
        <f t="shared" si="51"/>
        <v>102.25</v>
      </c>
      <c r="P295">
        <f t="shared" si="52"/>
        <v>3.65</v>
      </c>
      <c r="Q295">
        <v>0.3</v>
      </c>
      <c r="R295">
        <f t="shared" si="53"/>
        <v>99.41350763519749</v>
      </c>
      <c r="S295">
        <f t="shared" si="55"/>
        <v>0.67499999999999993</v>
      </c>
      <c r="T295">
        <f t="shared" si="49"/>
        <v>100.08850763519749</v>
      </c>
      <c r="U295">
        <f t="shared" si="57"/>
        <v>0</v>
      </c>
      <c r="V295">
        <f t="shared" si="57"/>
        <v>0</v>
      </c>
      <c r="W295">
        <f t="shared" si="57"/>
        <v>0</v>
      </c>
      <c r="X295">
        <f t="shared" si="57"/>
        <v>0</v>
      </c>
      <c r="Y295">
        <f t="shared" si="57"/>
        <v>0</v>
      </c>
      <c r="Z295">
        <f t="shared" si="57"/>
        <v>0</v>
      </c>
      <c r="AA295">
        <f t="shared" si="57"/>
        <v>0</v>
      </c>
      <c r="AB295">
        <f t="shared" si="57"/>
        <v>0.98303153765584805</v>
      </c>
      <c r="AC295">
        <f t="shared" si="57"/>
        <v>0.95928913164757079</v>
      </c>
      <c r="AD295">
        <f t="shared" si="57"/>
        <v>0.93612015774342094</v>
      </c>
    </row>
    <row r="296" spans="2:30">
      <c r="B296">
        <v>3.6625000000000001</v>
      </c>
      <c r="D296">
        <f t="shared" si="59"/>
        <v>0</v>
      </c>
      <c r="E296">
        <f t="shared" si="58"/>
        <v>0</v>
      </c>
      <c r="F296">
        <f t="shared" si="58"/>
        <v>0</v>
      </c>
      <c r="G296">
        <f t="shared" si="58"/>
        <v>0</v>
      </c>
      <c r="H296">
        <f t="shared" si="58"/>
        <v>0</v>
      </c>
      <c r="I296">
        <f t="shared" si="58"/>
        <v>0</v>
      </c>
      <c r="J296">
        <f t="shared" si="58"/>
        <v>0</v>
      </c>
      <c r="K296">
        <f t="shared" si="58"/>
        <v>2.25</v>
      </c>
      <c r="L296">
        <f t="shared" si="58"/>
        <v>2.25</v>
      </c>
      <c r="M296">
        <f t="shared" si="51"/>
        <v>102.25</v>
      </c>
      <c r="P296">
        <f t="shared" si="52"/>
        <v>3.6625000000000001</v>
      </c>
      <c r="Q296">
        <v>0.32500000000000001</v>
      </c>
      <c r="R296">
        <f t="shared" si="53"/>
        <v>99.418452133229366</v>
      </c>
      <c r="S296">
        <f t="shared" si="55"/>
        <v>0.73125000000000007</v>
      </c>
      <c r="T296">
        <f t="shared" si="49"/>
        <v>100.14970213322937</v>
      </c>
      <c r="U296">
        <f t="shared" si="57"/>
        <v>0</v>
      </c>
      <c r="V296">
        <f t="shared" si="57"/>
        <v>0</v>
      </c>
      <c r="W296">
        <f t="shared" si="57"/>
        <v>0</v>
      </c>
      <c r="X296">
        <f t="shared" si="57"/>
        <v>0</v>
      </c>
      <c r="Y296">
        <f t="shared" si="57"/>
        <v>0</v>
      </c>
      <c r="Z296">
        <f t="shared" si="57"/>
        <v>0</v>
      </c>
      <c r="AA296">
        <f t="shared" si="57"/>
        <v>0</v>
      </c>
      <c r="AB296">
        <f t="shared" si="57"/>
        <v>0.98363256691402823</v>
      </c>
      <c r="AC296">
        <f t="shared" si="57"/>
        <v>0.95987564470751729</v>
      </c>
      <c r="AD296">
        <f t="shared" si="57"/>
        <v>0.93669250520372505</v>
      </c>
    </row>
    <row r="297" spans="2:30">
      <c r="B297">
        <v>3.6749999999999998</v>
      </c>
      <c r="D297">
        <f t="shared" si="59"/>
        <v>0</v>
      </c>
      <c r="E297">
        <f t="shared" si="58"/>
        <v>0</v>
      </c>
      <c r="F297">
        <f t="shared" si="58"/>
        <v>0</v>
      </c>
      <c r="G297">
        <f t="shared" si="58"/>
        <v>0</v>
      </c>
      <c r="H297">
        <f t="shared" si="58"/>
        <v>0</v>
      </c>
      <c r="I297">
        <f t="shared" si="58"/>
        <v>0</v>
      </c>
      <c r="J297">
        <f t="shared" si="58"/>
        <v>0</v>
      </c>
      <c r="K297">
        <f t="shared" si="58"/>
        <v>2.25</v>
      </c>
      <c r="L297">
        <f t="shared" si="58"/>
        <v>2.25</v>
      </c>
      <c r="M297">
        <f t="shared" si="51"/>
        <v>102.25</v>
      </c>
      <c r="P297">
        <f t="shared" si="52"/>
        <v>3.6749999999999998</v>
      </c>
      <c r="Q297">
        <v>0.35</v>
      </c>
      <c r="R297">
        <f t="shared" si="53"/>
        <v>99.423434045812385</v>
      </c>
      <c r="S297">
        <f t="shared" si="55"/>
        <v>0.78749999999999998</v>
      </c>
      <c r="T297">
        <f t="shared" si="49"/>
        <v>100.21093404581238</v>
      </c>
      <c r="U297">
        <f t="shared" si="57"/>
        <v>0</v>
      </c>
      <c r="V297">
        <f t="shared" si="57"/>
        <v>0</v>
      </c>
      <c r="W297">
        <f t="shared" si="57"/>
        <v>0</v>
      </c>
      <c r="X297">
        <f t="shared" si="57"/>
        <v>0</v>
      </c>
      <c r="Y297">
        <f t="shared" si="57"/>
        <v>0</v>
      </c>
      <c r="Z297">
        <f t="shared" si="57"/>
        <v>0</v>
      </c>
      <c r="AA297">
        <f t="shared" si="57"/>
        <v>0</v>
      </c>
      <c r="AB297">
        <f t="shared" si="57"/>
        <v>0.98423396364380566</v>
      </c>
      <c r="AC297">
        <f t="shared" si="57"/>
        <v>0.96046251636380153</v>
      </c>
      <c r="AD297">
        <f t="shared" si="57"/>
        <v>0.93726520259946466</v>
      </c>
    </row>
    <row r="298" spans="2:30">
      <c r="B298">
        <v>3.6875</v>
      </c>
      <c r="D298">
        <f t="shared" si="59"/>
        <v>0</v>
      </c>
      <c r="E298">
        <f t="shared" si="58"/>
        <v>0</v>
      </c>
      <c r="F298">
        <f t="shared" si="58"/>
        <v>0</v>
      </c>
      <c r="G298">
        <f t="shared" si="58"/>
        <v>0</v>
      </c>
      <c r="H298">
        <f t="shared" si="58"/>
        <v>0</v>
      </c>
      <c r="I298">
        <f t="shared" si="58"/>
        <v>0</v>
      </c>
      <c r="J298">
        <f t="shared" si="58"/>
        <v>0</v>
      </c>
      <c r="K298">
        <f t="shared" si="58"/>
        <v>2.25</v>
      </c>
      <c r="L298">
        <f t="shared" si="58"/>
        <v>2.25</v>
      </c>
      <c r="M298">
        <f t="shared" si="51"/>
        <v>102.25</v>
      </c>
      <c r="P298">
        <f t="shared" si="52"/>
        <v>3.6875</v>
      </c>
      <c r="Q298">
        <v>0.375</v>
      </c>
      <c r="R298">
        <f t="shared" si="53"/>
        <v>99.428453395821975</v>
      </c>
      <c r="S298">
        <f t="shared" si="55"/>
        <v>0.84375</v>
      </c>
      <c r="T298">
        <f t="shared" si="49"/>
        <v>100.27220339582198</v>
      </c>
      <c r="U298">
        <f t="shared" si="57"/>
        <v>0</v>
      </c>
      <c r="V298">
        <f t="shared" si="57"/>
        <v>0</v>
      </c>
      <c r="W298">
        <f t="shared" si="57"/>
        <v>0</v>
      </c>
      <c r="X298">
        <f t="shared" si="57"/>
        <v>0</v>
      </c>
      <c r="Y298">
        <f t="shared" si="57"/>
        <v>0</v>
      </c>
      <c r="Z298">
        <f t="shared" si="57"/>
        <v>0</v>
      </c>
      <c r="AA298">
        <f t="shared" si="57"/>
        <v>0</v>
      </c>
      <c r="AB298">
        <f t="shared" si="57"/>
        <v>0.98483572806985353</v>
      </c>
      <c r="AC298">
        <f t="shared" si="57"/>
        <v>0.96104974683567079</v>
      </c>
      <c r="AD298">
        <f t="shared" si="57"/>
        <v>0.9378382501445921</v>
      </c>
    </row>
    <row r="299" spans="2:30">
      <c r="B299">
        <v>3.7</v>
      </c>
      <c r="D299">
        <f t="shared" si="59"/>
        <v>0</v>
      </c>
      <c r="E299">
        <f t="shared" si="58"/>
        <v>0</v>
      </c>
      <c r="F299">
        <f t="shared" si="58"/>
        <v>0</v>
      </c>
      <c r="G299">
        <f t="shared" si="58"/>
        <v>0</v>
      </c>
      <c r="H299">
        <f t="shared" si="58"/>
        <v>0</v>
      </c>
      <c r="I299">
        <f t="shared" si="58"/>
        <v>0</v>
      </c>
      <c r="J299">
        <f t="shared" si="58"/>
        <v>0</v>
      </c>
      <c r="K299">
        <f t="shared" si="58"/>
        <v>2.25</v>
      </c>
      <c r="L299">
        <f t="shared" si="58"/>
        <v>2.25</v>
      </c>
      <c r="M299">
        <f t="shared" si="51"/>
        <v>102.25</v>
      </c>
      <c r="P299">
        <f t="shared" si="52"/>
        <v>3.7</v>
      </c>
      <c r="Q299">
        <v>0.4</v>
      </c>
      <c r="R299">
        <f t="shared" si="53"/>
        <v>99.433510206147488</v>
      </c>
      <c r="S299">
        <f t="shared" si="55"/>
        <v>0.9</v>
      </c>
      <c r="T299">
        <f t="shared" si="49"/>
        <v>100.33351020614749</v>
      </c>
      <c r="U299">
        <f t="shared" si="57"/>
        <v>0</v>
      </c>
      <c r="V299">
        <f t="shared" si="57"/>
        <v>0</v>
      </c>
      <c r="W299">
        <f t="shared" si="57"/>
        <v>0</v>
      </c>
      <c r="X299">
        <f t="shared" si="57"/>
        <v>0</v>
      </c>
      <c r="Y299">
        <f t="shared" si="57"/>
        <v>0</v>
      </c>
      <c r="Z299">
        <f t="shared" si="57"/>
        <v>0</v>
      </c>
      <c r="AA299">
        <f t="shared" si="57"/>
        <v>0</v>
      </c>
      <c r="AB299">
        <f t="shared" si="57"/>
        <v>0.98543786041698334</v>
      </c>
      <c r="AC299">
        <f t="shared" si="57"/>
        <v>0.96163733634250614</v>
      </c>
      <c r="AD299">
        <f t="shared" si="57"/>
        <v>0.93841164805318977</v>
      </c>
    </row>
    <row r="300" spans="2:30">
      <c r="B300">
        <v>3.7124999999999999</v>
      </c>
      <c r="D300">
        <f t="shared" si="59"/>
        <v>0</v>
      </c>
      <c r="E300">
        <f t="shared" si="58"/>
        <v>0</v>
      </c>
      <c r="F300">
        <f t="shared" si="58"/>
        <v>0</v>
      </c>
      <c r="G300">
        <f t="shared" si="58"/>
        <v>0</v>
      </c>
      <c r="H300">
        <f t="shared" si="58"/>
        <v>0</v>
      </c>
      <c r="I300">
        <f t="shared" si="58"/>
        <v>0</v>
      </c>
      <c r="J300">
        <f t="shared" si="58"/>
        <v>0</v>
      </c>
      <c r="K300">
        <f t="shared" si="58"/>
        <v>2.25</v>
      </c>
      <c r="L300">
        <f t="shared" si="58"/>
        <v>2.25</v>
      </c>
      <c r="M300">
        <f t="shared" si="51"/>
        <v>102.25</v>
      </c>
      <c r="P300">
        <f t="shared" si="52"/>
        <v>3.7124999999999999</v>
      </c>
      <c r="Q300">
        <v>0.42499999999999999</v>
      </c>
      <c r="R300">
        <f t="shared" si="53"/>
        <v>99.43860449969236</v>
      </c>
      <c r="S300">
        <f t="shared" si="55"/>
        <v>0.95624999999999993</v>
      </c>
      <c r="T300">
        <f t="shared" si="49"/>
        <v>100.39485449969236</v>
      </c>
      <c r="U300">
        <f t="shared" si="57"/>
        <v>0</v>
      </c>
      <c r="V300">
        <f t="shared" si="57"/>
        <v>0</v>
      </c>
      <c r="W300">
        <f t="shared" si="57"/>
        <v>0</v>
      </c>
      <c r="X300">
        <f t="shared" si="57"/>
        <v>0</v>
      </c>
      <c r="Y300">
        <f t="shared" si="57"/>
        <v>0</v>
      </c>
      <c r="Z300">
        <f t="shared" si="57"/>
        <v>0</v>
      </c>
      <c r="AA300">
        <f t="shared" si="57"/>
        <v>0</v>
      </c>
      <c r="AB300">
        <f t="shared" si="57"/>
        <v>0.98604036091014291</v>
      </c>
      <c r="AC300">
        <f t="shared" si="57"/>
        <v>0.96222528510382321</v>
      </c>
      <c r="AD300">
        <f t="shared" si="57"/>
        <v>0.93898539653947122</v>
      </c>
    </row>
    <row r="301" spans="2:30">
      <c r="B301">
        <v>3.7250000000000001</v>
      </c>
      <c r="D301">
        <f t="shared" si="59"/>
        <v>0</v>
      </c>
      <c r="E301">
        <f t="shared" si="58"/>
        <v>0</v>
      </c>
      <c r="F301">
        <f t="shared" si="58"/>
        <v>0</v>
      </c>
      <c r="G301">
        <f t="shared" si="58"/>
        <v>0</v>
      </c>
      <c r="H301">
        <f t="shared" si="58"/>
        <v>0</v>
      </c>
      <c r="I301">
        <f t="shared" si="58"/>
        <v>0</v>
      </c>
      <c r="J301">
        <f t="shared" si="58"/>
        <v>0</v>
      </c>
      <c r="K301">
        <f t="shared" si="58"/>
        <v>2.25</v>
      </c>
      <c r="L301">
        <f t="shared" si="58"/>
        <v>2.25</v>
      </c>
      <c r="M301">
        <f t="shared" si="51"/>
        <v>102.25</v>
      </c>
      <c r="P301">
        <f t="shared" si="52"/>
        <v>3.7250000000000001</v>
      </c>
      <c r="Q301">
        <v>0.45</v>
      </c>
      <c r="R301">
        <f t="shared" si="53"/>
        <v>99.443736299373938</v>
      </c>
      <c r="S301">
        <f t="shared" si="55"/>
        <v>1.0125</v>
      </c>
      <c r="T301">
        <f t="shared" si="49"/>
        <v>100.45623629937394</v>
      </c>
      <c r="U301">
        <f t="shared" si="57"/>
        <v>0</v>
      </c>
      <c r="V301">
        <f t="shared" si="57"/>
        <v>0</v>
      </c>
      <c r="W301">
        <f t="shared" si="57"/>
        <v>0</v>
      </c>
      <c r="X301">
        <f t="shared" si="57"/>
        <v>0</v>
      </c>
      <c r="Y301">
        <f t="shared" si="57"/>
        <v>0</v>
      </c>
      <c r="Z301">
        <f t="shared" si="57"/>
        <v>0</v>
      </c>
      <c r="AA301">
        <f t="shared" si="57"/>
        <v>0</v>
      </c>
      <c r="AB301">
        <f t="shared" si="57"/>
        <v>0.98664322977441832</v>
      </c>
      <c r="AC301">
        <f t="shared" si="57"/>
        <v>0.96281359333927141</v>
      </c>
      <c r="AD301">
        <f t="shared" si="57"/>
        <v>0.93955949581778131</v>
      </c>
    </row>
    <row r="302" spans="2:30">
      <c r="B302">
        <v>3.7374999999999998</v>
      </c>
      <c r="D302">
        <f t="shared" si="59"/>
        <v>0</v>
      </c>
      <c r="E302">
        <f t="shared" si="58"/>
        <v>0</v>
      </c>
      <c r="F302">
        <f t="shared" si="58"/>
        <v>0</v>
      </c>
      <c r="G302">
        <f t="shared" si="58"/>
        <v>0</v>
      </c>
      <c r="H302">
        <f t="shared" si="58"/>
        <v>0</v>
      </c>
      <c r="I302">
        <f t="shared" si="58"/>
        <v>0</v>
      </c>
      <c r="J302">
        <f t="shared" si="58"/>
        <v>0</v>
      </c>
      <c r="K302">
        <f t="shared" si="58"/>
        <v>2.25</v>
      </c>
      <c r="L302">
        <f t="shared" si="58"/>
        <v>2.25</v>
      </c>
      <c r="M302">
        <f t="shared" si="51"/>
        <v>102.25</v>
      </c>
      <c r="P302">
        <f t="shared" si="52"/>
        <v>3.7374999999999998</v>
      </c>
      <c r="Q302">
        <v>0.47499999999999998</v>
      </c>
      <c r="R302">
        <f t="shared" si="53"/>
        <v>99.448905628123626</v>
      </c>
      <c r="S302">
        <f t="shared" si="55"/>
        <v>1.0687499999999999</v>
      </c>
      <c r="T302">
        <f t="shared" si="49"/>
        <v>100.51765562812362</v>
      </c>
      <c r="U302">
        <f t="shared" si="57"/>
        <v>0</v>
      </c>
      <c r="V302">
        <f t="shared" si="57"/>
        <v>0</v>
      </c>
      <c r="W302">
        <f t="shared" si="57"/>
        <v>0</v>
      </c>
      <c r="X302">
        <f t="shared" si="57"/>
        <v>0</v>
      </c>
      <c r="Y302">
        <f t="shared" si="57"/>
        <v>0</v>
      </c>
      <c r="Z302">
        <f t="shared" si="57"/>
        <v>0</v>
      </c>
      <c r="AA302">
        <f t="shared" si="57"/>
        <v>0</v>
      </c>
      <c r="AB302">
        <f t="shared" si="57"/>
        <v>0.98724646723503318</v>
      </c>
      <c r="AC302">
        <f t="shared" si="57"/>
        <v>0.96340226126863449</v>
      </c>
      <c r="AD302">
        <f t="shared" si="57"/>
        <v>0.94013394610259526</v>
      </c>
    </row>
    <row r="303" spans="2:30">
      <c r="B303">
        <v>3.75</v>
      </c>
      <c r="D303">
        <f t="shared" si="59"/>
        <v>0</v>
      </c>
      <c r="E303">
        <f t="shared" si="58"/>
        <v>0</v>
      </c>
      <c r="F303">
        <f t="shared" si="58"/>
        <v>0</v>
      </c>
      <c r="G303">
        <f t="shared" si="58"/>
        <v>0</v>
      </c>
      <c r="H303">
        <f t="shared" si="58"/>
        <v>0</v>
      </c>
      <c r="I303">
        <f t="shared" si="58"/>
        <v>0</v>
      </c>
      <c r="J303">
        <f t="shared" si="58"/>
        <v>0</v>
      </c>
      <c r="K303">
        <f t="shared" si="58"/>
        <v>2.25</v>
      </c>
      <c r="L303">
        <f t="shared" si="58"/>
        <v>2.25</v>
      </c>
      <c r="M303">
        <f t="shared" si="51"/>
        <v>102.25</v>
      </c>
      <c r="P303">
        <f t="shared" si="52"/>
        <v>3.75</v>
      </c>
      <c r="Q303">
        <v>0.5</v>
      </c>
      <c r="R303">
        <f t="shared" si="53"/>
        <v>99.454112508886809</v>
      </c>
      <c r="S303">
        <f t="shared" si="55"/>
        <v>1.125</v>
      </c>
      <c r="T303">
        <f t="shared" si="49"/>
        <v>100.57911250888681</v>
      </c>
      <c r="U303">
        <f t="shared" si="57"/>
        <v>0</v>
      </c>
      <c r="V303">
        <f t="shared" si="57"/>
        <v>0</v>
      </c>
      <c r="W303">
        <f t="shared" si="57"/>
        <v>0</v>
      </c>
      <c r="X303">
        <f t="shared" si="57"/>
        <v>0</v>
      </c>
      <c r="Y303">
        <f t="shared" si="57"/>
        <v>0</v>
      </c>
      <c r="Z303">
        <f t="shared" si="57"/>
        <v>0</v>
      </c>
      <c r="AA303">
        <f t="shared" si="57"/>
        <v>0</v>
      </c>
      <c r="AB303">
        <f t="shared" si="57"/>
        <v>0.98785007351734877</v>
      </c>
      <c r="AC303">
        <f t="shared" si="57"/>
        <v>0.96399128911183096</v>
      </c>
      <c r="AD303">
        <f t="shared" si="57"/>
        <v>0.94070874760851986</v>
      </c>
    </row>
    <row r="304" spans="2:30">
      <c r="B304">
        <v>3.7625000000000002</v>
      </c>
      <c r="D304">
        <f t="shared" si="59"/>
        <v>0</v>
      </c>
      <c r="E304">
        <f t="shared" si="58"/>
        <v>0</v>
      </c>
      <c r="F304">
        <f t="shared" si="58"/>
        <v>0</v>
      </c>
      <c r="G304">
        <f t="shared" si="58"/>
        <v>0</v>
      </c>
      <c r="H304">
        <f t="shared" si="58"/>
        <v>0</v>
      </c>
      <c r="I304">
        <f t="shared" si="58"/>
        <v>0</v>
      </c>
      <c r="J304">
        <f t="shared" si="58"/>
        <v>0</v>
      </c>
      <c r="K304">
        <f t="shared" si="58"/>
        <v>2.25</v>
      </c>
      <c r="L304">
        <f t="shared" si="58"/>
        <v>2.25</v>
      </c>
      <c r="M304">
        <f t="shared" si="51"/>
        <v>102.25</v>
      </c>
      <c r="P304">
        <f t="shared" si="52"/>
        <v>3.7625000000000002</v>
      </c>
      <c r="Q304">
        <v>0.52500000000000002</v>
      </c>
      <c r="R304">
        <f t="shared" si="53"/>
        <v>99.45935696462297</v>
      </c>
      <c r="S304">
        <f t="shared" si="55"/>
        <v>1.1812500000000001</v>
      </c>
      <c r="T304">
        <f t="shared" si="49"/>
        <v>100.64060696462298</v>
      </c>
      <c r="U304">
        <f t="shared" si="57"/>
        <v>0</v>
      </c>
      <c r="V304">
        <f t="shared" si="57"/>
        <v>0</v>
      </c>
      <c r="W304">
        <f t="shared" si="57"/>
        <v>0</v>
      </c>
      <c r="X304">
        <f t="shared" si="57"/>
        <v>0</v>
      </c>
      <c r="Y304">
        <f t="shared" si="57"/>
        <v>0</v>
      </c>
      <c r="Z304">
        <f t="shared" si="57"/>
        <v>0</v>
      </c>
      <c r="AA304">
        <f t="shared" si="57"/>
        <v>0</v>
      </c>
      <c r="AB304">
        <f t="shared" si="57"/>
        <v>0.98845404884686383</v>
      </c>
      <c r="AC304">
        <f t="shared" si="57"/>
        <v>0.96458067708891304</v>
      </c>
      <c r="AD304">
        <f t="shared" si="57"/>
        <v>0.94128390055029321</v>
      </c>
    </row>
    <row r="305" spans="2:30">
      <c r="B305">
        <v>3.7749999999999999</v>
      </c>
      <c r="D305">
        <f t="shared" si="59"/>
        <v>0</v>
      </c>
      <c r="E305">
        <f t="shared" si="58"/>
        <v>0</v>
      </c>
      <c r="F305">
        <f t="shared" si="58"/>
        <v>0</v>
      </c>
      <c r="G305">
        <f t="shared" si="58"/>
        <v>0</v>
      </c>
      <c r="H305">
        <f t="shared" si="58"/>
        <v>0</v>
      </c>
      <c r="I305">
        <f t="shared" si="58"/>
        <v>0</v>
      </c>
      <c r="J305">
        <f t="shared" si="58"/>
        <v>0</v>
      </c>
      <c r="K305">
        <f t="shared" si="58"/>
        <v>2.25</v>
      </c>
      <c r="L305">
        <f t="shared" si="58"/>
        <v>2.25</v>
      </c>
      <c r="M305">
        <f t="shared" si="51"/>
        <v>102.25</v>
      </c>
      <c r="P305">
        <f t="shared" si="52"/>
        <v>3.7749999999999999</v>
      </c>
      <c r="Q305">
        <v>0.55000000000000004</v>
      </c>
      <c r="R305">
        <f t="shared" si="53"/>
        <v>99.464639018305604</v>
      </c>
      <c r="S305">
        <f t="shared" si="55"/>
        <v>1.2375</v>
      </c>
      <c r="T305">
        <f t="shared" si="49"/>
        <v>100.7021390183056</v>
      </c>
      <c r="U305">
        <f t="shared" si="57"/>
        <v>0</v>
      </c>
      <c r="V305">
        <f t="shared" si="57"/>
        <v>0</v>
      </c>
      <c r="W305">
        <f t="shared" si="57"/>
        <v>0</v>
      </c>
      <c r="X305">
        <f t="shared" si="57"/>
        <v>0</v>
      </c>
      <c r="Y305">
        <f t="shared" si="57"/>
        <v>0</v>
      </c>
      <c r="Z305">
        <f t="shared" si="57"/>
        <v>0</v>
      </c>
      <c r="AA305">
        <f t="shared" si="57"/>
        <v>0</v>
      </c>
      <c r="AB305">
        <f t="shared" si="57"/>
        <v>0.98905839344921531</v>
      </c>
      <c r="AC305">
        <f t="shared" si="57"/>
        <v>0.96517042542006859</v>
      </c>
      <c r="AD305">
        <f t="shared" si="57"/>
        <v>0.94185940514278454</v>
      </c>
    </row>
    <row r="306" spans="2:30">
      <c r="B306">
        <v>3.7875000000000001</v>
      </c>
      <c r="D306">
        <f t="shared" si="59"/>
        <v>0</v>
      </c>
      <c r="E306">
        <f t="shared" si="58"/>
        <v>0</v>
      </c>
      <c r="F306">
        <f t="shared" si="58"/>
        <v>0</v>
      </c>
      <c r="G306">
        <f t="shared" si="58"/>
        <v>0</v>
      </c>
      <c r="H306">
        <f t="shared" si="58"/>
        <v>0</v>
      </c>
      <c r="I306">
        <f t="shared" si="58"/>
        <v>0</v>
      </c>
      <c r="J306">
        <f t="shared" si="58"/>
        <v>0</v>
      </c>
      <c r="K306">
        <f t="shared" si="58"/>
        <v>2.25</v>
      </c>
      <c r="L306">
        <f t="shared" si="58"/>
        <v>2.25</v>
      </c>
      <c r="M306">
        <f t="shared" si="51"/>
        <v>102.25</v>
      </c>
      <c r="P306">
        <f t="shared" si="52"/>
        <v>3.7875000000000001</v>
      </c>
      <c r="Q306">
        <v>0.57499999999999996</v>
      </c>
      <c r="R306">
        <f t="shared" si="53"/>
        <v>99.469958692922219</v>
      </c>
      <c r="S306">
        <f t="shared" si="55"/>
        <v>1.29375</v>
      </c>
      <c r="T306">
        <f t="shared" si="49"/>
        <v>100.76370869292222</v>
      </c>
      <c r="U306">
        <f t="shared" si="57"/>
        <v>0</v>
      </c>
      <c r="V306">
        <f t="shared" si="57"/>
        <v>0</v>
      </c>
      <c r="W306">
        <f t="shared" si="57"/>
        <v>0</v>
      </c>
      <c r="X306">
        <f t="shared" si="57"/>
        <v>0</v>
      </c>
      <c r="Y306">
        <f t="shared" si="57"/>
        <v>0</v>
      </c>
      <c r="Z306">
        <f t="shared" si="57"/>
        <v>0</v>
      </c>
      <c r="AA306">
        <f t="shared" si="57"/>
        <v>0</v>
      </c>
      <c r="AB306">
        <f t="shared" si="57"/>
        <v>0.98966310755017817</v>
      </c>
      <c r="AC306">
        <f t="shared" si="57"/>
        <v>0.96576053432561904</v>
      </c>
      <c r="AD306">
        <f t="shared" si="57"/>
        <v>0.94243526160099433</v>
      </c>
    </row>
    <row r="307" spans="2:30">
      <c r="B307">
        <v>3.8</v>
      </c>
      <c r="D307">
        <f t="shared" si="59"/>
        <v>0</v>
      </c>
      <c r="E307">
        <f t="shared" si="58"/>
        <v>0</v>
      </c>
      <c r="F307">
        <f t="shared" si="58"/>
        <v>0</v>
      </c>
      <c r="G307">
        <f t="shared" si="58"/>
        <v>0</v>
      </c>
      <c r="H307">
        <f t="shared" si="58"/>
        <v>0</v>
      </c>
      <c r="I307">
        <f t="shared" si="58"/>
        <v>0</v>
      </c>
      <c r="J307">
        <f t="shared" si="58"/>
        <v>0</v>
      </c>
      <c r="K307">
        <f t="shared" si="58"/>
        <v>2.25</v>
      </c>
      <c r="L307">
        <f t="shared" si="58"/>
        <v>2.25</v>
      </c>
      <c r="M307">
        <f t="shared" si="51"/>
        <v>102.25</v>
      </c>
      <c r="P307">
        <f t="shared" si="52"/>
        <v>3.8</v>
      </c>
      <c r="Q307">
        <v>0.6</v>
      </c>
      <c r="R307">
        <f t="shared" si="53"/>
        <v>99.475316011474376</v>
      </c>
      <c r="S307">
        <f t="shared" si="55"/>
        <v>1.3499999999999999</v>
      </c>
      <c r="T307">
        <f t="shared" si="49"/>
        <v>100.82531601147437</v>
      </c>
      <c r="U307">
        <f t="shared" ref="U307:AD322" si="60">IF((1/(1+$O$3/2)^((U$2-$P307)*2))&lt;=1,1/(1+$O$3/2)^((U$2-$P307)*2),0)</f>
        <v>0</v>
      </c>
      <c r="V307">
        <f t="shared" si="60"/>
        <v>0</v>
      </c>
      <c r="W307">
        <f t="shared" si="60"/>
        <v>0</v>
      </c>
      <c r="X307">
        <f t="shared" si="60"/>
        <v>0</v>
      </c>
      <c r="Y307">
        <f t="shared" si="60"/>
        <v>0</v>
      </c>
      <c r="Z307">
        <f t="shared" si="60"/>
        <v>0</v>
      </c>
      <c r="AA307">
        <f t="shared" si="60"/>
        <v>0</v>
      </c>
      <c r="AB307">
        <f t="shared" si="60"/>
        <v>0.99026819137566513</v>
      </c>
      <c r="AC307">
        <f t="shared" si="60"/>
        <v>0.96635100402602103</v>
      </c>
      <c r="AD307">
        <f t="shared" si="60"/>
        <v>0.9430114701400546</v>
      </c>
    </row>
    <row r="308" spans="2:30">
      <c r="B308">
        <v>3.8125</v>
      </c>
      <c r="D308">
        <f t="shared" si="59"/>
        <v>0</v>
      </c>
      <c r="E308">
        <f t="shared" si="58"/>
        <v>0</v>
      </c>
      <c r="F308">
        <f t="shared" si="58"/>
        <v>0</v>
      </c>
      <c r="G308">
        <f t="shared" si="58"/>
        <v>0</v>
      </c>
      <c r="H308">
        <f t="shared" si="58"/>
        <v>0</v>
      </c>
      <c r="I308">
        <f t="shared" si="58"/>
        <v>0</v>
      </c>
      <c r="J308">
        <f t="shared" si="58"/>
        <v>0</v>
      </c>
      <c r="K308">
        <f t="shared" si="58"/>
        <v>2.25</v>
      </c>
      <c r="L308">
        <f t="shared" si="58"/>
        <v>2.25</v>
      </c>
      <c r="M308">
        <f t="shared" si="51"/>
        <v>102.25</v>
      </c>
      <c r="P308">
        <f t="shared" si="52"/>
        <v>3.8125</v>
      </c>
      <c r="Q308">
        <v>0.625</v>
      </c>
      <c r="R308">
        <f t="shared" si="53"/>
        <v>99.480710996977763</v>
      </c>
      <c r="S308">
        <f t="shared" si="55"/>
        <v>1.40625</v>
      </c>
      <c r="T308">
        <f t="shared" si="49"/>
        <v>100.88696099697776</v>
      </c>
      <c r="U308">
        <f t="shared" si="60"/>
        <v>0</v>
      </c>
      <c r="V308">
        <f t="shared" si="60"/>
        <v>0</v>
      </c>
      <c r="W308">
        <f t="shared" si="60"/>
        <v>0</v>
      </c>
      <c r="X308">
        <f t="shared" si="60"/>
        <v>0</v>
      </c>
      <c r="Y308">
        <f t="shared" si="60"/>
        <v>0</v>
      </c>
      <c r="Z308">
        <f t="shared" si="60"/>
        <v>0</v>
      </c>
      <c r="AA308">
        <f t="shared" si="60"/>
        <v>0</v>
      </c>
      <c r="AB308">
        <f t="shared" si="60"/>
        <v>0.99087364515172727</v>
      </c>
      <c r="AC308">
        <f t="shared" si="60"/>
        <v>0.96694183474186624</v>
      </c>
      <c r="AD308">
        <f t="shared" si="60"/>
        <v>0.94358803097522914</v>
      </c>
    </row>
    <row r="309" spans="2:30">
      <c r="B309">
        <v>3.8250000000000002</v>
      </c>
      <c r="D309">
        <f t="shared" si="59"/>
        <v>0</v>
      </c>
      <c r="E309">
        <f t="shared" si="58"/>
        <v>0</v>
      </c>
      <c r="F309">
        <f t="shared" si="58"/>
        <v>0</v>
      </c>
      <c r="G309">
        <f t="shared" si="58"/>
        <v>0</v>
      </c>
      <c r="H309">
        <f t="shared" si="58"/>
        <v>0</v>
      </c>
      <c r="I309">
        <f t="shared" si="58"/>
        <v>0</v>
      </c>
      <c r="J309">
        <f t="shared" si="58"/>
        <v>0</v>
      </c>
      <c r="K309">
        <f t="shared" si="58"/>
        <v>2.25</v>
      </c>
      <c r="L309">
        <f t="shared" si="58"/>
        <v>2.25</v>
      </c>
      <c r="M309">
        <f t="shared" si="51"/>
        <v>102.25</v>
      </c>
      <c r="P309">
        <f t="shared" si="52"/>
        <v>3.8250000000000002</v>
      </c>
      <c r="Q309">
        <v>0.65</v>
      </c>
      <c r="R309">
        <f t="shared" si="53"/>
        <v>99.486143672462063</v>
      </c>
      <c r="S309">
        <f t="shared" si="55"/>
        <v>1.4625000000000001</v>
      </c>
      <c r="T309">
        <f t="shared" si="49"/>
        <v>100.94864367246207</v>
      </c>
      <c r="U309">
        <f t="shared" si="60"/>
        <v>0</v>
      </c>
      <c r="V309">
        <f t="shared" si="60"/>
        <v>0</v>
      </c>
      <c r="W309">
        <f t="shared" si="60"/>
        <v>0</v>
      </c>
      <c r="X309">
        <f t="shared" si="60"/>
        <v>0</v>
      </c>
      <c r="Y309">
        <f t="shared" si="60"/>
        <v>0</v>
      </c>
      <c r="Z309">
        <f t="shared" si="60"/>
        <v>0</v>
      </c>
      <c r="AA309">
        <f t="shared" si="60"/>
        <v>0</v>
      </c>
      <c r="AB309">
        <f t="shared" si="60"/>
        <v>0.99147946910455398</v>
      </c>
      <c r="AC309">
        <f t="shared" si="60"/>
        <v>0.96753302669388042</v>
      </c>
      <c r="AD309">
        <f t="shared" si="60"/>
        <v>0.94416494432191289</v>
      </c>
    </row>
    <row r="310" spans="2:30">
      <c r="B310">
        <v>3.8374999999999999</v>
      </c>
      <c r="D310">
        <f t="shared" si="59"/>
        <v>0</v>
      </c>
      <c r="E310">
        <f t="shared" si="58"/>
        <v>0</v>
      </c>
      <c r="F310">
        <f t="shared" si="58"/>
        <v>0</v>
      </c>
      <c r="G310">
        <f t="shared" si="58"/>
        <v>0</v>
      </c>
      <c r="H310">
        <f t="shared" si="58"/>
        <v>0</v>
      </c>
      <c r="I310">
        <f t="shared" si="58"/>
        <v>0</v>
      </c>
      <c r="J310">
        <f t="shared" si="58"/>
        <v>0</v>
      </c>
      <c r="K310">
        <f t="shared" si="58"/>
        <v>2.25</v>
      </c>
      <c r="L310">
        <f t="shared" si="58"/>
        <v>2.25</v>
      </c>
      <c r="M310">
        <f t="shared" si="51"/>
        <v>102.25</v>
      </c>
      <c r="P310">
        <f t="shared" si="52"/>
        <v>3.8374999999999999</v>
      </c>
      <c r="Q310">
        <v>0.67500000000000004</v>
      </c>
      <c r="R310">
        <f t="shared" si="53"/>
        <v>99.491614060971116</v>
      </c>
      <c r="S310">
        <f t="shared" si="55"/>
        <v>1.51875</v>
      </c>
      <c r="T310">
        <f t="shared" si="49"/>
        <v>101.01036406097111</v>
      </c>
      <c r="U310">
        <f t="shared" si="60"/>
        <v>0</v>
      </c>
      <c r="V310">
        <f t="shared" si="60"/>
        <v>0</v>
      </c>
      <c r="W310">
        <f t="shared" si="60"/>
        <v>0</v>
      </c>
      <c r="X310">
        <f t="shared" si="60"/>
        <v>0</v>
      </c>
      <c r="Y310">
        <f t="shared" si="60"/>
        <v>0</v>
      </c>
      <c r="Z310">
        <f t="shared" si="60"/>
        <v>0</v>
      </c>
      <c r="AA310">
        <f t="shared" si="60"/>
        <v>0</v>
      </c>
      <c r="AB310">
        <f t="shared" si="60"/>
        <v>0.99208566346047244</v>
      </c>
      <c r="AC310">
        <f t="shared" si="60"/>
        <v>0.9681245801029249</v>
      </c>
      <c r="AD310">
        <f t="shared" si="60"/>
        <v>0.94474221039563289</v>
      </c>
    </row>
    <row r="311" spans="2:30">
      <c r="B311">
        <v>3.85</v>
      </c>
      <c r="D311">
        <f t="shared" si="59"/>
        <v>0</v>
      </c>
      <c r="E311">
        <f t="shared" si="58"/>
        <v>0</v>
      </c>
      <c r="F311">
        <f t="shared" si="58"/>
        <v>0</v>
      </c>
      <c r="G311">
        <f t="shared" si="58"/>
        <v>0</v>
      </c>
      <c r="H311">
        <f t="shared" si="58"/>
        <v>0</v>
      </c>
      <c r="I311">
        <f t="shared" si="58"/>
        <v>0</v>
      </c>
      <c r="J311">
        <f t="shared" si="58"/>
        <v>0</v>
      </c>
      <c r="K311">
        <f t="shared" si="58"/>
        <v>2.25</v>
      </c>
      <c r="L311">
        <f t="shared" si="58"/>
        <v>2.25</v>
      </c>
      <c r="M311">
        <f t="shared" si="51"/>
        <v>102.25</v>
      </c>
      <c r="P311">
        <f t="shared" si="52"/>
        <v>3.85</v>
      </c>
      <c r="Q311">
        <v>0.7</v>
      </c>
      <c r="R311">
        <f t="shared" si="53"/>
        <v>99.497122185562787</v>
      </c>
      <c r="S311">
        <f t="shared" si="55"/>
        <v>1.575</v>
      </c>
      <c r="T311">
        <f t="shared" si="49"/>
        <v>101.07212218556279</v>
      </c>
      <c r="U311">
        <f t="shared" si="60"/>
        <v>0</v>
      </c>
      <c r="V311">
        <f t="shared" si="60"/>
        <v>0</v>
      </c>
      <c r="W311">
        <f t="shared" si="60"/>
        <v>0</v>
      </c>
      <c r="X311">
        <f t="shared" si="60"/>
        <v>0</v>
      </c>
      <c r="Y311">
        <f t="shared" si="60"/>
        <v>0</v>
      </c>
      <c r="Z311">
        <f t="shared" si="60"/>
        <v>0</v>
      </c>
      <c r="AA311">
        <f t="shared" si="60"/>
        <v>0</v>
      </c>
      <c r="AB311">
        <f t="shared" si="60"/>
        <v>0.99269222844594862</v>
      </c>
      <c r="AC311">
        <f t="shared" si="60"/>
        <v>0.96871649518999625</v>
      </c>
      <c r="AD311">
        <f t="shared" si="60"/>
        <v>0.94531982941204795</v>
      </c>
    </row>
    <row r="312" spans="2:30">
      <c r="B312">
        <v>3.8624999999999998</v>
      </c>
      <c r="D312">
        <f t="shared" si="59"/>
        <v>0</v>
      </c>
      <c r="E312">
        <f t="shared" si="58"/>
        <v>0</v>
      </c>
      <c r="F312">
        <f t="shared" si="58"/>
        <v>0</v>
      </c>
      <c r="G312">
        <f t="shared" si="58"/>
        <v>0</v>
      </c>
      <c r="H312">
        <f t="shared" si="58"/>
        <v>0</v>
      </c>
      <c r="I312">
        <f t="shared" si="58"/>
        <v>0</v>
      </c>
      <c r="J312">
        <f t="shared" si="58"/>
        <v>0</v>
      </c>
      <c r="K312">
        <f t="shared" si="58"/>
        <v>2.25</v>
      </c>
      <c r="L312">
        <f t="shared" si="58"/>
        <v>2.25</v>
      </c>
      <c r="M312">
        <f t="shared" si="51"/>
        <v>102.25</v>
      </c>
      <c r="P312">
        <f t="shared" si="52"/>
        <v>3.8624999999999998</v>
      </c>
      <c r="Q312">
        <v>0.72499999999999998</v>
      </c>
      <c r="R312">
        <f t="shared" si="53"/>
        <v>99.502668069309038</v>
      </c>
      <c r="S312">
        <f t="shared" si="55"/>
        <v>1.6312499999999999</v>
      </c>
      <c r="T312">
        <f t="shared" si="49"/>
        <v>101.13391806930903</v>
      </c>
      <c r="U312">
        <f t="shared" si="60"/>
        <v>0</v>
      </c>
      <c r="V312">
        <f t="shared" si="60"/>
        <v>0</v>
      </c>
      <c r="W312">
        <f t="shared" si="60"/>
        <v>0</v>
      </c>
      <c r="X312">
        <f t="shared" si="60"/>
        <v>0</v>
      </c>
      <c r="Y312">
        <f t="shared" si="60"/>
        <v>0</v>
      </c>
      <c r="Z312">
        <f t="shared" si="60"/>
        <v>0</v>
      </c>
      <c r="AA312">
        <f t="shared" si="60"/>
        <v>0</v>
      </c>
      <c r="AB312">
        <f t="shared" si="60"/>
        <v>0.9932991642875868</v>
      </c>
      <c r="AC312">
        <f t="shared" si="60"/>
        <v>0.96930877217622513</v>
      </c>
      <c r="AD312">
        <f t="shared" si="60"/>
        <v>0.94589780158694814</v>
      </c>
    </row>
    <row r="313" spans="2:30">
      <c r="B313">
        <v>3.875</v>
      </c>
      <c r="D313">
        <f t="shared" si="59"/>
        <v>0</v>
      </c>
      <c r="E313">
        <f t="shared" si="58"/>
        <v>0</v>
      </c>
      <c r="F313">
        <f t="shared" si="58"/>
        <v>0</v>
      </c>
      <c r="G313">
        <f t="shared" si="58"/>
        <v>0</v>
      </c>
      <c r="H313">
        <f t="shared" si="58"/>
        <v>0</v>
      </c>
      <c r="I313">
        <f t="shared" si="58"/>
        <v>0</v>
      </c>
      <c r="J313">
        <f t="shared" si="58"/>
        <v>0</v>
      </c>
      <c r="K313">
        <f t="shared" si="58"/>
        <v>2.25</v>
      </c>
      <c r="L313">
        <f t="shared" si="58"/>
        <v>2.25</v>
      </c>
      <c r="M313">
        <f t="shared" si="51"/>
        <v>102.25</v>
      </c>
      <c r="P313">
        <f t="shared" si="52"/>
        <v>3.875</v>
      </c>
      <c r="Q313">
        <v>0.75</v>
      </c>
      <c r="R313">
        <f t="shared" si="53"/>
        <v>99.508251735295971</v>
      </c>
      <c r="S313">
        <f t="shared" si="55"/>
        <v>1.6875</v>
      </c>
      <c r="T313">
        <f t="shared" si="49"/>
        <v>101.19575173529597</v>
      </c>
      <c r="U313">
        <f t="shared" si="60"/>
        <v>0</v>
      </c>
      <c r="V313">
        <f t="shared" si="60"/>
        <v>0</v>
      </c>
      <c r="W313">
        <f t="shared" si="60"/>
        <v>0</v>
      </c>
      <c r="X313">
        <f t="shared" si="60"/>
        <v>0</v>
      </c>
      <c r="Y313">
        <f t="shared" si="60"/>
        <v>0</v>
      </c>
      <c r="Z313">
        <f t="shared" si="60"/>
        <v>0</v>
      </c>
      <c r="AA313">
        <f t="shared" si="60"/>
        <v>0</v>
      </c>
      <c r="AB313">
        <f t="shared" si="60"/>
        <v>0.99390647121212994</v>
      </c>
      <c r="AC313">
        <f t="shared" si="60"/>
        <v>0.96990141128287866</v>
      </c>
      <c r="AD313">
        <f t="shared" si="60"/>
        <v>0.94647612713625628</v>
      </c>
    </row>
    <row r="314" spans="2:30">
      <c r="B314">
        <v>3.8875000000000002</v>
      </c>
      <c r="D314">
        <f t="shared" si="59"/>
        <v>0</v>
      </c>
      <c r="E314">
        <f t="shared" si="58"/>
        <v>0</v>
      </c>
      <c r="F314">
        <f t="shared" si="58"/>
        <v>0</v>
      </c>
      <c r="G314">
        <f t="shared" si="58"/>
        <v>0</v>
      </c>
      <c r="H314">
        <f t="shared" si="58"/>
        <v>0</v>
      </c>
      <c r="I314">
        <f t="shared" si="58"/>
        <v>0</v>
      </c>
      <c r="J314">
        <f t="shared" si="58"/>
        <v>0</v>
      </c>
      <c r="K314">
        <f t="shared" si="58"/>
        <v>2.25</v>
      </c>
      <c r="L314">
        <f t="shared" si="58"/>
        <v>2.25</v>
      </c>
      <c r="M314">
        <f t="shared" si="51"/>
        <v>102.25</v>
      </c>
      <c r="P314">
        <f t="shared" si="52"/>
        <v>3.8875000000000002</v>
      </c>
      <c r="Q314">
        <v>0.77500000000000002</v>
      </c>
      <c r="R314">
        <f t="shared" si="53"/>
        <v>99.513873206623828</v>
      </c>
      <c r="S314">
        <f t="shared" si="55"/>
        <v>1.7437500000000001</v>
      </c>
      <c r="T314">
        <f t="shared" si="49"/>
        <v>101.25762320662383</v>
      </c>
      <c r="U314">
        <f t="shared" si="60"/>
        <v>0</v>
      </c>
      <c r="V314">
        <f t="shared" si="60"/>
        <v>0</v>
      </c>
      <c r="W314">
        <f t="shared" si="60"/>
        <v>0</v>
      </c>
      <c r="X314">
        <f t="shared" si="60"/>
        <v>0</v>
      </c>
      <c r="Y314">
        <f t="shared" si="60"/>
        <v>0</v>
      </c>
      <c r="Z314">
        <f t="shared" si="60"/>
        <v>0</v>
      </c>
      <c r="AA314">
        <f t="shared" si="60"/>
        <v>0</v>
      </c>
      <c r="AB314">
        <f t="shared" si="60"/>
        <v>0.99451414944645966</v>
      </c>
      <c r="AC314">
        <f t="shared" si="60"/>
        <v>0.9704944127313585</v>
      </c>
      <c r="AD314">
        <f t="shared" si="60"/>
        <v>0.94705480627602689</v>
      </c>
    </row>
    <row r="315" spans="2:30">
      <c r="B315">
        <v>3.9</v>
      </c>
      <c r="D315">
        <f t="shared" si="59"/>
        <v>0</v>
      </c>
      <c r="E315">
        <f t="shared" si="58"/>
        <v>0</v>
      </c>
      <c r="F315">
        <f t="shared" si="58"/>
        <v>0</v>
      </c>
      <c r="G315">
        <f t="shared" si="58"/>
        <v>0</v>
      </c>
      <c r="H315">
        <f t="shared" si="58"/>
        <v>0</v>
      </c>
      <c r="I315">
        <f t="shared" si="58"/>
        <v>0</v>
      </c>
      <c r="J315">
        <f t="shared" si="58"/>
        <v>0</v>
      </c>
      <c r="K315">
        <f t="shared" si="58"/>
        <v>2.25</v>
      </c>
      <c r="L315">
        <f t="shared" si="58"/>
        <v>2.25</v>
      </c>
      <c r="M315">
        <f t="shared" si="51"/>
        <v>102.25</v>
      </c>
      <c r="P315">
        <f t="shared" si="52"/>
        <v>3.9</v>
      </c>
      <c r="Q315">
        <v>0.8</v>
      </c>
      <c r="R315">
        <f t="shared" si="53"/>
        <v>99.519532506406946</v>
      </c>
      <c r="S315">
        <f t="shared" si="55"/>
        <v>1.8</v>
      </c>
      <c r="T315">
        <f t="shared" si="49"/>
        <v>101.31953250640694</v>
      </c>
      <c r="U315">
        <f t="shared" si="60"/>
        <v>0</v>
      </c>
      <c r="V315">
        <f t="shared" si="60"/>
        <v>0</v>
      </c>
      <c r="W315">
        <f t="shared" si="60"/>
        <v>0</v>
      </c>
      <c r="X315">
        <f t="shared" si="60"/>
        <v>0</v>
      </c>
      <c r="Y315">
        <f t="shared" si="60"/>
        <v>0</v>
      </c>
      <c r="Z315">
        <f t="shared" si="60"/>
        <v>0</v>
      </c>
      <c r="AA315">
        <f t="shared" si="60"/>
        <v>0</v>
      </c>
      <c r="AB315">
        <f t="shared" si="60"/>
        <v>0.99512219921759615</v>
      </c>
      <c r="AC315">
        <f t="shared" si="60"/>
        <v>0.9710877767432019</v>
      </c>
      <c r="AD315">
        <f t="shared" si="60"/>
        <v>0.94763383922244637</v>
      </c>
    </row>
    <row r="316" spans="2:30">
      <c r="B316">
        <v>3.9125000000000001</v>
      </c>
      <c r="D316">
        <f t="shared" si="59"/>
        <v>0</v>
      </c>
      <c r="E316">
        <f t="shared" si="58"/>
        <v>0</v>
      </c>
      <c r="F316">
        <f t="shared" si="58"/>
        <v>0</v>
      </c>
      <c r="G316">
        <f t="shared" si="58"/>
        <v>0</v>
      </c>
      <c r="H316">
        <f t="shared" si="58"/>
        <v>0</v>
      </c>
      <c r="I316">
        <f t="shared" si="58"/>
        <v>0</v>
      </c>
      <c r="J316">
        <f t="shared" si="58"/>
        <v>0</v>
      </c>
      <c r="K316">
        <f t="shared" si="58"/>
        <v>2.25</v>
      </c>
      <c r="L316">
        <f t="shared" si="58"/>
        <v>2.25</v>
      </c>
      <c r="M316">
        <f t="shared" si="51"/>
        <v>102.25</v>
      </c>
      <c r="P316">
        <f t="shared" si="52"/>
        <v>3.9125000000000001</v>
      </c>
      <c r="Q316">
        <v>0.82499999999999996</v>
      </c>
      <c r="R316">
        <f t="shared" si="53"/>
        <v>99.525229657773721</v>
      </c>
      <c r="S316">
        <f t="shared" si="55"/>
        <v>1.85625</v>
      </c>
      <c r="T316">
        <f t="shared" si="49"/>
        <v>101.38147965777372</v>
      </c>
      <c r="U316">
        <f t="shared" si="60"/>
        <v>0</v>
      </c>
      <c r="V316">
        <f t="shared" si="60"/>
        <v>0</v>
      </c>
      <c r="W316">
        <f t="shared" si="60"/>
        <v>0</v>
      </c>
      <c r="X316">
        <f t="shared" si="60"/>
        <v>0</v>
      </c>
      <c r="Y316">
        <f t="shared" si="60"/>
        <v>0</v>
      </c>
      <c r="Z316">
        <f t="shared" si="60"/>
        <v>0</v>
      </c>
      <c r="AA316">
        <f t="shared" si="60"/>
        <v>0</v>
      </c>
      <c r="AB316">
        <f t="shared" si="60"/>
        <v>0.99573062075269825</v>
      </c>
      <c r="AC316">
        <f t="shared" si="60"/>
        <v>0.97168150354008131</v>
      </c>
      <c r="AD316">
        <f t="shared" si="60"/>
        <v>0.94821322619183335</v>
      </c>
    </row>
    <row r="317" spans="2:30">
      <c r="B317">
        <v>3.9249999999999998</v>
      </c>
      <c r="D317">
        <f t="shared" si="59"/>
        <v>0</v>
      </c>
      <c r="E317">
        <f t="shared" si="58"/>
        <v>0</v>
      </c>
      <c r="F317">
        <f t="shared" si="58"/>
        <v>0</v>
      </c>
      <c r="G317">
        <f t="shared" si="58"/>
        <v>0</v>
      </c>
      <c r="H317">
        <f t="shared" si="58"/>
        <v>0</v>
      </c>
      <c r="I317">
        <f t="shared" si="58"/>
        <v>0</v>
      </c>
      <c r="J317">
        <f t="shared" si="58"/>
        <v>0</v>
      </c>
      <c r="K317">
        <f t="shared" si="58"/>
        <v>2.25</v>
      </c>
      <c r="L317">
        <f t="shared" si="58"/>
        <v>2.25</v>
      </c>
      <c r="M317">
        <f t="shared" si="51"/>
        <v>102.25</v>
      </c>
      <c r="P317">
        <f t="shared" si="52"/>
        <v>3.9249999999999998</v>
      </c>
      <c r="Q317">
        <v>0.85</v>
      </c>
      <c r="R317">
        <f t="shared" si="53"/>
        <v>99.530964683866799</v>
      </c>
      <c r="S317">
        <f t="shared" si="55"/>
        <v>1.9124999999999999</v>
      </c>
      <c r="T317">
        <f t="shared" si="49"/>
        <v>101.44346468386679</v>
      </c>
      <c r="U317">
        <f t="shared" si="60"/>
        <v>0</v>
      </c>
      <c r="V317">
        <f t="shared" si="60"/>
        <v>0</v>
      </c>
      <c r="W317">
        <f t="shared" si="60"/>
        <v>0</v>
      </c>
      <c r="X317">
        <f t="shared" si="60"/>
        <v>0</v>
      </c>
      <c r="Y317">
        <f t="shared" si="60"/>
        <v>0</v>
      </c>
      <c r="Z317">
        <f t="shared" si="60"/>
        <v>0</v>
      </c>
      <c r="AA317">
        <f t="shared" si="60"/>
        <v>0</v>
      </c>
      <c r="AB317">
        <f t="shared" si="60"/>
        <v>0.99633941427906403</v>
      </c>
      <c r="AC317">
        <f t="shared" si="60"/>
        <v>0.97227559334380487</v>
      </c>
      <c r="AD317">
        <f t="shared" si="60"/>
        <v>0.94879296740063901</v>
      </c>
    </row>
    <row r="318" spans="2:30">
      <c r="B318">
        <v>3.9375</v>
      </c>
      <c r="D318">
        <f t="shared" si="59"/>
        <v>0</v>
      </c>
      <c r="E318">
        <f t="shared" si="58"/>
        <v>0</v>
      </c>
      <c r="F318">
        <f t="shared" si="58"/>
        <v>0</v>
      </c>
      <c r="G318">
        <f t="shared" si="58"/>
        <v>0</v>
      </c>
      <c r="H318">
        <f t="shared" si="58"/>
        <v>0</v>
      </c>
      <c r="I318">
        <f t="shared" si="58"/>
        <v>0</v>
      </c>
      <c r="J318">
        <f t="shared" si="58"/>
        <v>0</v>
      </c>
      <c r="K318">
        <f t="shared" si="58"/>
        <v>2.25</v>
      </c>
      <c r="L318">
        <f t="shared" si="58"/>
        <v>2.25</v>
      </c>
      <c r="M318">
        <f t="shared" si="51"/>
        <v>102.25</v>
      </c>
      <c r="P318">
        <f t="shared" si="52"/>
        <v>3.9375</v>
      </c>
      <c r="Q318">
        <v>0.875</v>
      </c>
      <c r="R318">
        <f t="shared" si="53"/>
        <v>99.536737607842937</v>
      </c>
      <c r="S318">
        <f t="shared" si="55"/>
        <v>1.96875</v>
      </c>
      <c r="T318">
        <f t="shared" si="49"/>
        <v>101.50548760784294</v>
      </c>
      <c r="U318">
        <f t="shared" si="60"/>
        <v>0</v>
      </c>
      <c r="V318">
        <f t="shared" si="60"/>
        <v>0</v>
      </c>
      <c r="W318">
        <f t="shared" si="60"/>
        <v>0</v>
      </c>
      <c r="X318">
        <f t="shared" si="60"/>
        <v>0</v>
      </c>
      <c r="Y318">
        <f t="shared" si="60"/>
        <v>0</v>
      </c>
      <c r="Z318">
        <f t="shared" si="60"/>
        <v>0</v>
      </c>
      <c r="AA318">
        <f t="shared" si="60"/>
        <v>0</v>
      </c>
      <c r="AB318">
        <f t="shared" si="60"/>
        <v>0.99694858002413034</v>
      </c>
      <c r="AC318">
        <f t="shared" si="60"/>
        <v>0.97287004637631658</v>
      </c>
      <c r="AD318">
        <f t="shared" si="60"/>
        <v>0.94937306306544678</v>
      </c>
    </row>
    <row r="319" spans="2:30">
      <c r="B319">
        <v>3.95</v>
      </c>
      <c r="D319">
        <f t="shared" si="59"/>
        <v>0</v>
      </c>
      <c r="E319">
        <f t="shared" si="58"/>
        <v>0</v>
      </c>
      <c r="F319">
        <f t="shared" si="58"/>
        <v>0</v>
      </c>
      <c r="G319">
        <f t="shared" si="58"/>
        <v>0</v>
      </c>
      <c r="H319">
        <f t="shared" si="58"/>
        <v>0</v>
      </c>
      <c r="I319">
        <f t="shared" si="58"/>
        <v>0</v>
      </c>
      <c r="J319">
        <f t="shared" si="58"/>
        <v>0</v>
      </c>
      <c r="K319">
        <f t="shared" si="58"/>
        <v>2.25</v>
      </c>
      <c r="L319">
        <f t="shared" si="58"/>
        <v>2.25</v>
      </c>
      <c r="M319">
        <f t="shared" si="51"/>
        <v>102.25</v>
      </c>
      <c r="P319">
        <f t="shared" si="52"/>
        <v>3.95</v>
      </c>
      <c r="Q319">
        <v>0.9</v>
      </c>
      <c r="R319">
        <f t="shared" si="53"/>
        <v>99.542548452873021</v>
      </c>
      <c r="S319">
        <f t="shared" si="55"/>
        <v>2.0249999999999999</v>
      </c>
      <c r="T319">
        <f t="shared" si="49"/>
        <v>101.56754845287303</v>
      </c>
      <c r="U319">
        <f t="shared" si="60"/>
        <v>0</v>
      </c>
      <c r="V319">
        <f t="shared" si="60"/>
        <v>0</v>
      </c>
      <c r="W319">
        <f t="shared" si="60"/>
        <v>0</v>
      </c>
      <c r="X319">
        <f t="shared" si="60"/>
        <v>0</v>
      </c>
      <c r="Y319">
        <f t="shared" si="60"/>
        <v>0</v>
      </c>
      <c r="Z319">
        <f t="shared" si="60"/>
        <v>0</v>
      </c>
      <c r="AA319">
        <f t="shared" si="60"/>
        <v>0</v>
      </c>
      <c r="AB319">
        <f t="shared" si="60"/>
        <v>0.99755811821547324</v>
      </c>
      <c r="AC319">
        <f t="shared" si="60"/>
        <v>0.9734648628596958</v>
      </c>
      <c r="AD319">
        <f t="shared" si="60"/>
        <v>0.94995351340297218</v>
      </c>
    </row>
    <row r="320" spans="2:30">
      <c r="B320">
        <v>3.9624999999999999</v>
      </c>
      <c r="D320">
        <f t="shared" si="59"/>
        <v>0</v>
      </c>
      <c r="E320">
        <f t="shared" si="58"/>
        <v>0</v>
      </c>
      <c r="F320">
        <f t="shared" si="58"/>
        <v>0</v>
      </c>
      <c r="G320">
        <f t="shared" si="58"/>
        <v>0</v>
      </c>
      <c r="H320">
        <f t="shared" si="58"/>
        <v>0</v>
      </c>
      <c r="I320">
        <f t="shared" si="58"/>
        <v>0</v>
      </c>
      <c r="J320">
        <f t="shared" si="58"/>
        <v>0</v>
      </c>
      <c r="K320">
        <f t="shared" si="58"/>
        <v>2.25</v>
      </c>
      <c r="L320">
        <f t="shared" si="58"/>
        <v>2.25</v>
      </c>
      <c r="M320">
        <f t="shared" si="51"/>
        <v>102.25</v>
      </c>
      <c r="P320">
        <f t="shared" si="52"/>
        <v>3.9624999999999999</v>
      </c>
      <c r="Q320">
        <v>0.92500000000000004</v>
      </c>
      <c r="R320">
        <f t="shared" si="53"/>
        <v>99.548397242142173</v>
      </c>
      <c r="S320">
        <f t="shared" si="55"/>
        <v>2.0812500000000003</v>
      </c>
      <c r="T320">
        <f t="shared" si="49"/>
        <v>101.62964724214217</v>
      </c>
      <c r="U320">
        <f t="shared" si="60"/>
        <v>0</v>
      </c>
      <c r="V320">
        <f t="shared" si="60"/>
        <v>0</v>
      </c>
      <c r="W320">
        <f t="shared" si="60"/>
        <v>0</v>
      </c>
      <c r="X320">
        <f t="shared" si="60"/>
        <v>0</v>
      </c>
      <c r="Y320">
        <f t="shared" si="60"/>
        <v>0</v>
      </c>
      <c r="Z320">
        <f t="shared" si="60"/>
        <v>0</v>
      </c>
      <c r="AA320">
        <f t="shared" si="60"/>
        <v>0</v>
      </c>
      <c r="AB320">
        <f t="shared" si="60"/>
        <v>0.99816802908080771</v>
      </c>
      <c r="AC320">
        <f t="shared" si="60"/>
        <v>0.97406004301615767</v>
      </c>
      <c r="AD320">
        <f t="shared" si="60"/>
        <v>0.95053431863006366</v>
      </c>
    </row>
    <row r="321" spans="2:30">
      <c r="B321">
        <v>3.9750000000000001</v>
      </c>
      <c r="D321">
        <f t="shared" si="59"/>
        <v>0</v>
      </c>
      <c r="E321">
        <f t="shared" si="58"/>
        <v>0</v>
      </c>
      <c r="F321">
        <f t="shared" si="58"/>
        <v>0</v>
      </c>
      <c r="G321">
        <f t="shared" si="58"/>
        <v>0</v>
      </c>
      <c r="H321">
        <f t="shared" si="58"/>
        <v>0</v>
      </c>
      <c r="I321">
        <f t="shared" si="58"/>
        <v>0</v>
      </c>
      <c r="J321">
        <f t="shared" si="58"/>
        <v>0</v>
      </c>
      <c r="K321">
        <f t="shared" si="58"/>
        <v>2.25</v>
      </c>
      <c r="L321">
        <f t="shared" si="58"/>
        <v>2.25</v>
      </c>
      <c r="M321">
        <f t="shared" si="51"/>
        <v>102.25</v>
      </c>
      <c r="P321">
        <f t="shared" si="52"/>
        <v>3.9750000000000001</v>
      </c>
      <c r="Q321">
        <v>0.95</v>
      </c>
      <c r="R321">
        <f t="shared" si="53"/>
        <v>99.554283998849613</v>
      </c>
      <c r="S321">
        <f t="shared" si="55"/>
        <v>2.1374999999999997</v>
      </c>
      <c r="T321">
        <f t="shared" si="49"/>
        <v>101.69178399884962</v>
      </c>
      <c r="U321">
        <f t="shared" si="60"/>
        <v>0</v>
      </c>
      <c r="V321">
        <f t="shared" si="60"/>
        <v>0</v>
      </c>
      <c r="W321">
        <f t="shared" si="60"/>
        <v>0</v>
      </c>
      <c r="X321">
        <f t="shared" si="60"/>
        <v>0</v>
      </c>
      <c r="Y321">
        <f t="shared" si="60"/>
        <v>0</v>
      </c>
      <c r="Z321">
        <f t="shared" si="60"/>
        <v>0</v>
      </c>
      <c r="AA321">
        <f t="shared" si="60"/>
        <v>0</v>
      </c>
      <c r="AB321">
        <f t="shared" si="60"/>
        <v>0.9987783128479879</v>
      </c>
      <c r="AC321">
        <f t="shared" si="60"/>
        <v>0.97465558706805366</v>
      </c>
      <c r="AD321">
        <f t="shared" si="60"/>
        <v>0.95111547896370197</v>
      </c>
    </row>
    <row r="322" spans="2:30">
      <c r="B322">
        <v>3.9874999999999998</v>
      </c>
      <c r="D322">
        <f t="shared" si="59"/>
        <v>0</v>
      </c>
      <c r="E322">
        <f t="shared" si="58"/>
        <v>0</v>
      </c>
      <c r="F322">
        <f t="shared" si="58"/>
        <v>0</v>
      </c>
      <c r="G322">
        <f t="shared" si="58"/>
        <v>0</v>
      </c>
      <c r="H322">
        <f t="shared" si="58"/>
        <v>0</v>
      </c>
      <c r="I322">
        <f t="shared" si="58"/>
        <v>0</v>
      </c>
      <c r="J322">
        <f t="shared" si="58"/>
        <v>0</v>
      </c>
      <c r="K322">
        <f t="shared" si="58"/>
        <v>2.25</v>
      </c>
      <c r="L322">
        <f t="shared" si="58"/>
        <v>2.25</v>
      </c>
      <c r="M322">
        <f t="shared" si="51"/>
        <v>102.25</v>
      </c>
      <c r="P322">
        <f t="shared" si="52"/>
        <v>3.9874999999999998</v>
      </c>
      <c r="Q322">
        <v>0.97499999999999998</v>
      </c>
      <c r="R322">
        <f t="shared" si="53"/>
        <v>99.560208746208801</v>
      </c>
      <c r="S322">
        <f t="shared" si="55"/>
        <v>2.1937500000000001</v>
      </c>
      <c r="T322">
        <f t="shared" si="49"/>
        <v>101.7539587462088</v>
      </c>
      <c r="U322">
        <f t="shared" si="60"/>
        <v>0</v>
      </c>
      <c r="V322">
        <f t="shared" si="60"/>
        <v>0</v>
      </c>
      <c r="W322">
        <f t="shared" si="60"/>
        <v>0</v>
      </c>
      <c r="X322">
        <f t="shared" si="60"/>
        <v>0</v>
      </c>
      <c r="Y322">
        <f t="shared" si="60"/>
        <v>0</v>
      </c>
      <c r="Z322">
        <f t="shared" si="60"/>
        <v>0</v>
      </c>
      <c r="AA322">
        <f t="shared" si="60"/>
        <v>0</v>
      </c>
      <c r="AB322">
        <f t="shared" si="60"/>
        <v>0.99938896974500779</v>
      </c>
      <c r="AC322">
        <f t="shared" si="60"/>
        <v>0.97525149523787025</v>
      </c>
      <c r="AD322">
        <f t="shared" si="60"/>
        <v>0.95169699462100066</v>
      </c>
    </row>
    <row r="323" spans="2:30">
      <c r="B323">
        <v>4</v>
      </c>
      <c r="D323">
        <f t="shared" si="59"/>
        <v>0</v>
      </c>
      <c r="E323">
        <f t="shared" si="58"/>
        <v>0</v>
      </c>
      <c r="F323">
        <f t="shared" si="58"/>
        <v>0</v>
      </c>
      <c r="G323">
        <f t="shared" si="58"/>
        <v>0</v>
      </c>
      <c r="H323">
        <f t="shared" si="58"/>
        <v>0</v>
      </c>
      <c r="I323">
        <f t="shared" si="58"/>
        <v>0</v>
      </c>
      <c r="J323">
        <f t="shared" si="58"/>
        <v>0</v>
      </c>
      <c r="K323">
        <f t="shared" si="58"/>
        <v>2.25</v>
      </c>
      <c r="L323">
        <f t="shared" si="58"/>
        <v>2.25</v>
      </c>
      <c r="M323">
        <f t="shared" si="51"/>
        <v>102.25</v>
      </c>
      <c r="P323">
        <f t="shared" si="52"/>
        <v>4</v>
      </c>
      <c r="Q323">
        <v>1</v>
      </c>
      <c r="R323">
        <f t="shared" si="53"/>
        <v>99.566171507447308</v>
      </c>
      <c r="S323">
        <f t="shared" si="55"/>
        <v>2.25</v>
      </c>
      <c r="T323">
        <f t="shared" ref="T323:T386" si="61">SUMPRODUCT(U323:AD323,D323:M323)</f>
        <v>101.81617150744731</v>
      </c>
      <c r="U323">
        <f t="shared" ref="U323:AD338" si="62">IF((1/(1+$O$3/2)^((U$2-$P323)*2))&lt;=1,1/(1+$O$3/2)^((U$2-$P323)*2),0)</f>
        <v>0</v>
      </c>
      <c r="V323">
        <f t="shared" si="62"/>
        <v>0</v>
      </c>
      <c r="W323">
        <f t="shared" si="62"/>
        <v>0</v>
      </c>
      <c r="X323">
        <f t="shared" si="62"/>
        <v>0</v>
      </c>
      <c r="Y323">
        <f t="shared" si="62"/>
        <v>0</v>
      </c>
      <c r="Z323">
        <f t="shared" si="62"/>
        <v>0</v>
      </c>
      <c r="AA323">
        <f t="shared" si="62"/>
        <v>0</v>
      </c>
      <c r="AB323">
        <f t="shared" si="62"/>
        <v>1</v>
      </c>
      <c r="AC323">
        <f t="shared" si="62"/>
        <v>0.97584776774823123</v>
      </c>
      <c r="AD323">
        <f t="shared" si="62"/>
        <v>0.95227886581920584</v>
      </c>
    </row>
    <row r="324" spans="2:30">
      <c r="B324">
        <v>4.0125000000000002</v>
      </c>
      <c r="D324">
        <f t="shared" si="59"/>
        <v>0</v>
      </c>
      <c r="E324">
        <f t="shared" si="58"/>
        <v>0</v>
      </c>
      <c r="F324">
        <f t="shared" si="58"/>
        <v>0</v>
      </c>
      <c r="G324">
        <f t="shared" si="58"/>
        <v>0</v>
      </c>
      <c r="H324">
        <f t="shared" si="58"/>
        <v>0</v>
      </c>
      <c r="I324">
        <f t="shared" si="58"/>
        <v>0</v>
      </c>
      <c r="J324">
        <f t="shared" si="58"/>
        <v>0</v>
      </c>
      <c r="K324">
        <f t="shared" si="58"/>
        <v>0</v>
      </c>
      <c r="L324">
        <f t="shared" si="58"/>
        <v>2.25</v>
      </c>
      <c r="M324">
        <f t="shared" ref="M324:M387" si="63">IF($B324&lt;=M$2,100*$D$1/2,0)+100</f>
        <v>102.25</v>
      </c>
      <c r="P324">
        <f t="shared" ref="P324:P387" si="64">B324</f>
        <v>4.0125000000000002</v>
      </c>
      <c r="Q324">
        <v>2.5000000000000001E-2</v>
      </c>
      <c r="R324">
        <f t="shared" ref="R324:R387" si="65">T324-S324</f>
        <v>99.570796647164272</v>
      </c>
      <c r="S324">
        <f t="shared" si="55"/>
        <v>5.6250000000000001E-2</v>
      </c>
      <c r="T324">
        <f t="shared" si="61"/>
        <v>99.627046647164278</v>
      </c>
      <c r="U324">
        <f t="shared" si="62"/>
        <v>0</v>
      </c>
      <c r="V324">
        <f t="shared" si="62"/>
        <v>0</v>
      </c>
      <c r="W324">
        <f t="shared" si="62"/>
        <v>0</v>
      </c>
      <c r="X324">
        <f t="shared" si="62"/>
        <v>0</v>
      </c>
      <c r="Y324">
        <f t="shared" si="62"/>
        <v>0</v>
      </c>
      <c r="Z324">
        <f t="shared" si="62"/>
        <v>0</v>
      </c>
      <c r="AA324">
        <f t="shared" si="62"/>
        <v>0</v>
      </c>
      <c r="AB324">
        <f t="shared" si="62"/>
        <v>0</v>
      </c>
      <c r="AC324">
        <f t="shared" si="62"/>
        <v>0.97644440482189543</v>
      </c>
      <c r="AD324">
        <f t="shared" si="62"/>
        <v>0.95286109277569686</v>
      </c>
    </row>
    <row r="325" spans="2:30">
      <c r="B325">
        <v>4.0250000000000004</v>
      </c>
      <c r="D325">
        <f t="shared" si="59"/>
        <v>0</v>
      </c>
      <c r="E325">
        <f t="shared" si="58"/>
        <v>0</v>
      </c>
      <c r="F325">
        <f t="shared" si="58"/>
        <v>0</v>
      </c>
      <c r="G325">
        <f t="shared" si="58"/>
        <v>0</v>
      </c>
      <c r="H325">
        <f t="shared" si="58"/>
        <v>0</v>
      </c>
      <c r="I325">
        <f t="shared" ref="E325:L357" si="66">IF($B325&lt;=I$2,100*$D$1/2,0)</f>
        <v>0</v>
      </c>
      <c r="J325">
        <f t="shared" si="66"/>
        <v>0</v>
      </c>
      <c r="K325">
        <f t="shared" si="66"/>
        <v>0</v>
      </c>
      <c r="L325">
        <f t="shared" si="66"/>
        <v>2.25</v>
      </c>
      <c r="M325">
        <f t="shared" si="63"/>
        <v>102.25</v>
      </c>
      <c r="P325">
        <f t="shared" si="64"/>
        <v>4.0250000000000004</v>
      </c>
      <c r="Q325">
        <v>0.05</v>
      </c>
      <c r="R325">
        <f t="shared" si="65"/>
        <v>99.575459006175464</v>
      </c>
      <c r="S325">
        <f t="shared" ref="S325:S388" si="67">(100*$D$1/2)*Q325</f>
        <v>0.1125</v>
      </c>
      <c r="T325">
        <f t="shared" si="61"/>
        <v>99.687959006175461</v>
      </c>
      <c r="U325">
        <f t="shared" si="62"/>
        <v>0</v>
      </c>
      <c r="V325">
        <f t="shared" si="62"/>
        <v>0</v>
      </c>
      <c r="W325">
        <f t="shared" si="62"/>
        <v>0</v>
      </c>
      <c r="X325">
        <f t="shared" si="62"/>
        <v>0</v>
      </c>
      <c r="Y325">
        <f t="shared" si="62"/>
        <v>0</v>
      </c>
      <c r="Z325">
        <f t="shared" si="62"/>
        <v>0</v>
      </c>
      <c r="AA325">
        <f t="shared" si="62"/>
        <v>0</v>
      </c>
      <c r="AB325">
        <f t="shared" si="62"/>
        <v>0</v>
      </c>
      <c r="AC325">
        <f t="shared" si="62"/>
        <v>0.9770414066817581</v>
      </c>
      <c r="AD325">
        <f t="shared" si="62"/>
        <v>0.95344367570798538</v>
      </c>
    </row>
    <row r="326" spans="2:30">
      <c r="B326">
        <v>4.0374999999999996</v>
      </c>
      <c r="D326">
        <f t="shared" si="59"/>
        <v>0</v>
      </c>
      <c r="E326">
        <f t="shared" si="66"/>
        <v>0</v>
      </c>
      <c r="F326">
        <f t="shared" si="66"/>
        <v>0</v>
      </c>
      <c r="G326">
        <f t="shared" si="66"/>
        <v>0</v>
      </c>
      <c r="H326">
        <f t="shared" si="66"/>
        <v>0</v>
      </c>
      <c r="I326">
        <f t="shared" si="66"/>
        <v>0</v>
      </c>
      <c r="J326">
        <f t="shared" si="66"/>
        <v>0</v>
      </c>
      <c r="K326">
        <f t="shared" si="66"/>
        <v>0</v>
      </c>
      <c r="L326">
        <f t="shared" si="66"/>
        <v>2.25</v>
      </c>
      <c r="M326">
        <f t="shared" si="63"/>
        <v>102.25</v>
      </c>
      <c r="P326">
        <f t="shared" si="64"/>
        <v>4.0374999999999996</v>
      </c>
      <c r="Q326">
        <v>7.4999999999999997E-2</v>
      </c>
      <c r="R326">
        <f t="shared" si="65"/>
        <v>99.580158607236953</v>
      </c>
      <c r="S326">
        <f t="shared" si="67"/>
        <v>0.16874999999999998</v>
      </c>
      <c r="T326">
        <f t="shared" si="61"/>
        <v>99.748908607236956</v>
      </c>
      <c r="U326">
        <f t="shared" si="62"/>
        <v>0</v>
      </c>
      <c r="V326">
        <f t="shared" si="62"/>
        <v>0</v>
      </c>
      <c r="W326">
        <f t="shared" si="62"/>
        <v>0</v>
      </c>
      <c r="X326">
        <f t="shared" si="62"/>
        <v>0</v>
      </c>
      <c r="Y326">
        <f t="shared" si="62"/>
        <v>0</v>
      </c>
      <c r="Z326">
        <f t="shared" si="62"/>
        <v>0</v>
      </c>
      <c r="AA326">
        <f t="shared" si="62"/>
        <v>0</v>
      </c>
      <c r="AB326">
        <f t="shared" si="62"/>
        <v>0</v>
      </c>
      <c r="AC326">
        <f t="shared" si="62"/>
        <v>0.97763877355085116</v>
      </c>
      <c r="AD326">
        <f t="shared" si="62"/>
        <v>0.95402661483371676</v>
      </c>
    </row>
    <row r="327" spans="2:30">
      <c r="B327">
        <v>4.05</v>
      </c>
      <c r="D327">
        <f t="shared" si="59"/>
        <v>0</v>
      </c>
      <c r="E327">
        <f t="shared" si="66"/>
        <v>0</v>
      </c>
      <c r="F327">
        <f t="shared" si="66"/>
        <v>0</v>
      </c>
      <c r="G327">
        <f t="shared" si="66"/>
        <v>0</v>
      </c>
      <c r="H327">
        <f t="shared" si="66"/>
        <v>0</v>
      </c>
      <c r="I327">
        <f t="shared" si="66"/>
        <v>0</v>
      </c>
      <c r="J327">
        <f t="shared" si="66"/>
        <v>0</v>
      </c>
      <c r="K327">
        <f t="shared" si="66"/>
        <v>0</v>
      </c>
      <c r="L327">
        <f t="shared" si="66"/>
        <v>2.25</v>
      </c>
      <c r="M327">
        <f t="shared" si="63"/>
        <v>102.25</v>
      </c>
      <c r="P327">
        <f t="shared" si="64"/>
        <v>4.05</v>
      </c>
      <c r="Q327">
        <v>0.1</v>
      </c>
      <c r="R327">
        <f t="shared" si="65"/>
        <v>99.58489547311865</v>
      </c>
      <c r="S327">
        <f t="shared" si="67"/>
        <v>0.22500000000000001</v>
      </c>
      <c r="T327">
        <f t="shared" si="61"/>
        <v>99.809895473118644</v>
      </c>
      <c r="U327">
        <f t="shared" si="62"/>
        <v>0</v>
      </c>
      <c r="V327">
        <f t="shared" si="62"/>
        <v>0</v>
      </c>
      <c r="W327">
        <f t="shared" si="62"/>
        <v>0</v>
      </c>
      <c r="X327">
        <f t="shared" si="62"/>
        <v>0</v>
      </c>
      <c r="Y327">
        <f t="shared" si="62"/>
        <v>0</v>
      </c>
      <c r="Z327">
        <f t="shared" si="62"/>
        <v>0</v>
      </c>
      <c r="AA327">
        <f t="shared" si="62"/>
        <v>0</v>
      </c>
      <c r="AB327">
        <f t="shared" si="62"/>
        <v>0</v>
      </c>
      <c r="AC327">
        <f t="shared" si="62"/>
        <v>0.97823650565234266</v>
      </c>
      <c r="AD327">
        <f t="shared" si="62"/>
        <v>0.95460991037066867</v>
      </c>
    </row>
    <row r="328" spans="2:30">
      <c r="B328">
        <v>4.0625</v>
      </c>
      <c r="D328">
        <f t="shared" si="59"/>
        <v>0</v>
      </c>
      <c r="E328">
        <f t="shared" si="66"/>
        <v>0</v>
      </c>
      <c r="F328">
        <f t="shared" si="66"/>
        <v>0</v>
      </c>
      <c r="G328">
        <f t="shared" si="66"/>
        <v>0</v>
      </c>
      <c r="H328">
        <f t="shared" si="66"/>
        <v>0</v>
      </c>
      <c r="I328">
        <f t="shared" si="66"/>
        <v>0</v>
      </c>
      <c r="J328">
        <f t="shared" si="66"/>
        <v>0</v>
      </c>
      <c r="K328">
        <f t="shared" si="66"/>
        <v>0</v>
      </c>
      <c r="L328">
        <f t="shared" si="66"/>
        <v>2.25</v>
      </c>
      <c r="M328">
        <f t="shared" si="63"/>
        <v>102.25</v>
      </c>
      <c r="P328">
        <f t="shared" si="64"/>
        <v>4.0625</v>
      </c>
      <c r="Q328">
        <v>0.125</v>
      </c>
      <c r="R328">
        <f t="shared" si="65"/>
        <v>99.589669626604405</v>
      </c>
      <c r="S328">
        <f t="shared" si="67"/>
        <v>0.28125</v>
      </c>
      <c r="T328">
        <f t="shared" si="61"/>
        <v>99.870919626604405</v>
      </c>
      <c r="U328">
        <f t="shared" si="62"/>
        <v>0</v>
      </c>
      <c r="V328">
        <f t="shared" si="62"/>
        <v>0</v>
      </c>
      <c r="W328">
        <f t="shared" si="62"/>
        <v>0</v>
      </c>
      <c r="X328">
        <f t="shared" si="62"/>
        <v>0</v>
      </c>
      <c r="Y328">
        <f t="shared" si="62"/>
        <v>0</v>
      </c>
      <c r="Z328">
        <f t="shared" si="62"/>
        <v>0</v>
      </c>
      <c r="AA328">
        <f t="shared" si="62"/>
        <v>0</v>
      </c>
      <c r="AB328">
        <f t="shared" si="62"/>
        <v>0</v>
      </c>
      <c r="AC328">
        <f t="shared" si="62"/>
        <v>0.97883460320953708</v>
      </c>
      <c r="AD328">
        <f t="shared" si="62"/>
        <v>0.95519356253675247</v>
      </c>
    </row>
    <row r="329" spans="2:30">
      <c r="B329">
        <v>4.0750000000000002</v>
      </c>
      <c r="D329">
        <f t="shared" si="59"/>
        <v>0</v>
      </c>
      <c r="E329">
        <f t="shared" si="66"/>
        <v>0</v>
      </c>
      <c r="F329">
        <f t="shared" si="66"/>
        <v>0</v>
      </c>
      <c r="G329">
        <f t="shared" si="66"/>
        <v>0</v>
      </c>
      <c r="H329">
        <f t="shared" si="66"/>
        <v>0</v>
      </c>
      <c r="I329">
        <f t="shared" si="66"/>
        <v>0</v>
      </c>
      <c r="J329">
        <f t="shared" si="66"/>
        <v>0</v>
      </c>
      <c r="K329">
        <f t="shared" si="66"/>
        <v>0</v>
      </c>
      <c r="L329">
        <f t="shared" si="66"/>
        <v>2.25</v>
      </c>
      <c r="M329">
        <f t="shared" si="63"/>
        <v>102.25</v>
      </c>
      <c r="P329">
        <f t="shared" si="64"/>
        <v>4.0750000000000002</v>
      </c>
      <c r="Q329">
        <v>0.15</v>
      </c>
      <c r="R329">
        <f t="shared" si="65"/>
        <v>99.594481090491996</v>
      </c>
      <c r="S329">
        <f t="shared" si="67"/>
        <v>0.33749999999999997</v>
      </c>
      <c r="T329">
        <f t="shared" si="61"/>
        <v>99.931981090492002</v>
      </c>
      <c r="U329">
        <f t="shared" si="62"/>
        <v>0</v>
      </c>
      <c r="V329">
        <f t="shared" si="62"/>
        <v>0</v>
      </c>
      <c r="W329">
        <f t="shared" si="62"/>
        <v>0</v>
      </c>
      <c r="X329">
        <f t="shared" si="62"/>
        <v>0</v>
      </c>
      <c r="Y329">
        <f t="shared" si="62"/>
        <v>0</v>
      </c>
      <c r="Z329">
        <f t="shared" si="62"/>
        <v>0</v>
      </c>
      <c r="AA329">
        <f t="shared" si="62"/>
        <v>0</v>
      </c>
      <c r="AB329">
        <f t="shared" si="62"/>
        <v>0</v>
      </c>
      <c r="AC329">
        <f t="shared" si="62"/>
        <v>0.97943306644587558</v>
      </c>
      <c r="AD329">
        <f t="shared" si="62"/>
        <v>0.95577757155001264</v>
      </c>
    </row>
    <row r="330" spans="2:30">
      <c r="B330">
        <v>4.0875000000000004</v>
      </c>
      <c r="D330">
        <f t="shared" si="59"/>
        <v>0</v>
      </c>
      <c r="E330">
        <f t="shared" si="66"/>
        <v>0</v>
      </c>
      <c r="F330">
        <f t="shared" si="66"/>
        <v>0</v>
      </c>
      <c r="G330">
        <f t="shared" si="66"/>
        <v>0</v>
      </c>
      <c r="H330">
        <f t="shared" si="66"/>
        <v>0</v>
      </c>
      <c r="I330">
        <f t="shared" si="66"/>
        <v>0</v>
      </c>
      <c r="J330">
        <f t="shared" si="66"/>
        <v>0</v>
      </c>
      <c r="K330">
        <f t="shared" si="66"/>
        <v>0</v>
      </c>
      <c r="L330">
        <f t="shared" si="66"/>
        <v>2.25</v>
      </c>
      <c r="M330">
        <f t="shared" si="63"/>
        <v>102.25</v>
      </c>
      <c r="P330">
        <f t="shared" si="64"/>
        <v>4.0875000000000004</v>
      </c>
      <c r="Q330">
        <v>0.17499999999999999</v>
      </c>
      <c r="R330">
        <f t="shared" si="65"/>
        <v>99.5993298875932</v>
      </c>
      <c r="S330">
        <f t="shared" si="67"/>
        <v>0.39374999999999999</v>
      </c>
      <c r="T330">
        <f t="shared" si="61"/>
        <v>99.993079887593197</v>
      </c>
      <c r="U330">
        <f t="shared" si="62"/>
        <v>0</v>
      </c>
      <c r="V330">
        <f t="shared" si="62"/>
        <v>0</v>
      </c>
      <c r="W330">
        <f t="shared" si="62"/>
        <v>0</v>
      </c>
      <c r="X330">
        <f t="shared" si="62"/>
        <v>0</v>
      </c>
      <c r="Y330">
        <f t="shared" si="62"/>
        <v>0</v>
      </c>
      <c r="Z330">
        <f t="shared" si="62"/>
        <v>0</v>
      </c>
      <c r="AA330">
        <f t="shared" si="62"/>
        <v>0</v>
      </c>
      <c r="AB330">
        <f t="shared" si="62"/>
        <v>0</v>
      </c>
      <c r="AC330">
        <f t="shared" si="62"/>
        <v>0.98003189558493531</v>
      </c>
      <c r="AD330">
        <f t="shared" si="62"/>
        <v>0.95636193762862676</v>
      </c>
    </row>
    <row r="331" spans="2:30">
      <c r="B331">
        <v>4.0999999999999996</v>
      </c>
      <c r="D331">
        <f t="shared" si="59"/>
        <v>0</v>
      </c>
      <c r="E331">
        <f t="shared" si="66"/>
        <v>0</v>
      </c>
      <c r="F331">
        <f t="shared" si="66"/>
        <v>0</v>
      </c>
      <c r="G331">
        <f t="shared" si="66"/>
        <v>0</v>
      </c>
      <c r="H331">
        <f t="shared" si="66"/>
        <v>0</v>
      </c>
      <c r="I331">
        <f t="shared" si="66"/>
        <v>0</v>
      </c>
      <c r="J331">
        <f t="shared" si="66"/>
        <v>0</v>
      </c>
      <c r="K331">
        <f t="shared" si="66"/>
        <v>0</v>
      </c>
      <c r="L331">
        <f t="shared" si="66"/>
        <v>2.25</v>
      </c>
      <c r="M331">
        <f t="shared" si="63"/>
        <v>102.25</v>
      </c>
      <c r="P331">
        <f t="shared" si="64"/>
        <v>4.0999999999999996</v>
      </c>
      <c r="Q331">
        <v>0.2</v>
      </c>
      <c r="R331">
        <f t="shared" si="65"/>
        <v>99.60421604073359</v>
      </c>
      <c r="S331">
        <f t="shared" si="67"/>
        <v>0.45</v>
      </c>
      <c r="T331">
        <f t="shared" si="61"/>
        <v>100.05421604073359</v>
      </c>
      <c r="U331">
        <f t="shared" si="62"/>
        <v>0</v>
      </c>
      <c r="V331">
        <f t="shared" si="62"/>
        <v>0</v>
      </c>
      <c r="W331">
        <f t="shared" si="62"/>
        <v>0</v>
      </c>
      <c r="X331">
        <f t="shared" si="62"/>
        <v>0</v>
      </c>
      <c r="Y331">
        <f t="shared" si="62"/>
        <v>0</v>
      </c>
      <c r="Z331">
        <f t="shared" si="62"/>
        <v>0</v>
      </c>
      <c r="AA331">
        <f t="shared" si="62"/>
        <v>0</v>
      </c>
      <c r="AB331">
        <f t="shared" si="62"/>
        <v>0</v>
      </c>
      <c r="AC331">
        <f t="shared" si="62"/>
        <v>0.98063109085043088</v>
      </c>
      <c r="AD331">
        <f t="shared" si="62"/>
        <v>0.95694666099090597</v>
      </c>
    </row>
    <row r="332" spans="2:30">
      <c r="B332">
        <v>4.1124999999999998</v>
      </c>
      <c r="D332">
        <f t="shared" si="59"/>
        <v>0</v>
      </c>
      <c r="E332">
        <f t="shared" si="66"/>
        <v>0</v>
      </c>
      <c r="F332">
        <f t="shared" si="66"/>
        <v>0</v>
      </c>
      <c r="G332">
        <f t="shared" si="66"/>
        <v>0</v>
      </c>
      <c r="H332">
        <f t="shared" si="66"/>
        <v>0</v>
      </c>
      <c r="I332">
        <f t="shared" si="66"/>
        <v>0</v>
      </c>
      <c r="J332">
        <f t="shared" si="66"/>
        <v>0</v>
      </c>
      <c r="K332">
        <f t="shared" si="66"/>
        <v>0</v>
      </c>
      <c r="L332">
        <f t="shared" si="66"/>
        <v>2.25</v>
      </c>
      <c r="M332">
        <f t="shared" si="63"/>
        <v>102.25</v>
      </c>
      <c r="P332">
        <f t="shared" si="64"/>
        <v>4.1124999999999998</v>
      </c>
      <c r="Q332">
        <v>0.22500000000000001</v>
      </c>
      <c r="R332">
        <f t="shared" si="65"/>
        <v>99.609139572752895</v>
      </c>
      <c r="S332">
        <f t="shared" si="67"/>
        <v>0.50624999999999998</v>
      </c>
      <c r="T332">
        <f t="shared" si="61"/>
        <v>100.11538957275289</v>
      </c>
      <c r="U332">
        <f t="shared" si="62"/>
        <v>0</v>
      </c>
      <c r="V332">
        <f t="shared" si="62"/>
        <v>0</v>
      </c>
      <c r="W332">
        <f t="shared" si="62"/>
        <v>0</v>
      </c>
      <c r="X332">
        <f t="shared" si="62"/>
        <v>0</v>
      </c>
      <c r="Y332">
        <f t="shared" si="62"/>
        <v>0</v>
      </c>
      <c r="Z332">
        <f t="shared" si="62"/>
        <v>0</v>
      </c>
      <c r="AA332">
        <f t="shared" si="62"/>
        <v>0</v>
      </c>
      <c r="AB332">
        <f t="shared" si="62"/>
        <v>0</v>
      </c>
      <c r="AC332">
        <f t="shared" si="62"/>
        <v>0.98123065246621366</v>
      </c>
      <c r="AD332">
        <f t="shared" si="62"/>
        <v>0.95753174185529499</v>
      </c>
    </row>
    <row r="333" spans="2:30">
      <c r="B333">
        <v>4.125</v>
      </c>
      <c r="D333">
        <f t="shared" si="59"/>
        <v>0</v>
      </c>
      <c r="E333">
        <f t="shared" si="66"/>
        <v>0</v>
      </c>
      <c r="F333">
        <f t="shared" si="66"/>
        <v>0</v>
      </c>
      <c r="G333">
        <f t="shared" si="66"/>
        <v>0</v>
      </c>
      <c r="H333">
        <f t="shared" si="66"/>
        <v>0</v>
      </c>
      <c r="I333">
        <f t="shared" si="66"/>
        <v>0</v>
      </c>
      <c r="J333">
        <f t="shared" si="66"/>
        <v>0</v>
      </c>
      <c r="K333">
        <f t="shared" si="66"/>
        <v>0</v>
      </c>
      <c r="L333">
        <f t="shared" si="66"/>
        <v>2.25</v>
      </c>
      <c r="M333">
        <f t="shared" si="63"/>
        <v>102.25</v>
      </c>
      <c r="P333">
        <f t="shared" si="64"/>
        <v>4.125</v>
      </c>
      <c r="Q333">
        <v>0.25</v>
      </c>
      <c r="R333">
        <f t="shared" si="65"/>
        <v>99.614100506504656</v>
      </c>
      <c r="S333">
        <f t="shared" si="67"/>
        <v>0.5625</v>
      </c>
      <c r="T333">
        <f t="shared" si="61"/>
        <v>100.17660050650466</v>
      </c>
      <c r="U333">
        <f t="shared" si="62"/>
        <v>0</v>
      </c>
      <c r="V333">
        <f t="shared" si="62"/>
        <v>0</v>
      </c>
      <c r="W333">
        <f t="shared" si="62"/>
        <v>0</v>
      </c>
      <c r="X333">
        <f t="shared" si="62"/>
        <v>0</v>
      </c>
      <c r="Y333">
        <f t="shared" si="62"/>
        <v>0</v>
      </c>
      <c r="Z333">
        <f t="shared" si="62"/>
        <v>0</v>
      </c>
      <c r="AA333">
        <f t="shared" si="62"/>
        <v>0</v>
      </c>
      <c r="AB333">
        <f t="shared" si="62"/>
        <v>0</v>
      </c>
      <c r="AC333">
        <f t="shared" si="62"/>
        <v>0.98183058065627116</v>
      </c>
      <c r="AD333">
        <f t="shared" si="62"/>
        <v>0.95811718044037208</v>
      </c>
    </row>
    <row r="334" spans="2:30">
      <c r="B334">
        <v>4.1375000000000002</v>
      </c>
      <c r="D334">
        <f t="shared" si="59"/>
        <v>0</v>
      </c>
      <c r="E334">
        <f t="shared" si="66"/>
        <v>0</v>
      </c>
      <c r="F334">
        <f t="shared" si="66"/>
        <v>0</v>
      </c>
      <c r="G334">
        <f t="shared" si="66"/>
        <v>0</v>
      </c>
      <c r="H334">
        <f t="shared" si="66"/>
        <v>0</v>
      </c>
      <c r="I334">
        <f t="shared" si="66"/>
        <v>0</v>
      </c>
      <c r="J334">
        <f t="shared" si="66"/>
        <v>0</v>
      </c>
      <c r="K334">
        <f t="shared" si="66"/>
        <v>0</v>
      </c>
      <c r="L334">
        <f t="shared" si="66"/>
        <v>2.25</v>
      </c>
      <c r="M334">
        <f t="shared" si="63"/>
        <v>102.25</v>
      </c>
      <c r="P334">
        <f t="shared" si="64"/>
        <v>4.1375000000000002</v>
      </c>
      <c r="Q334">
        <v>0.27500000000000002</v>
      </c>
      <c r="R334">
        <f t="shared" si="65"/>
        <v>99.619098864856412</v>
      </c>
      <c r="S334">
        <f t="shared" si="67"/>
        <v>0.61875000000000002</v>
      </c>
      <c r="T334">
        <f t="shared" si="61"/>
        <v>100.23784886485642</v>
      </c>
      <c r="U334">
        <f t="shared" si="62"/>
        <v>0</v>
      </c>
      <c r="V334">
        <f t="shared" si="62"/>
        <v>0</v>
      </c>
      <c r="W334">
        <f t="shared" si="62"/>
        <v>0</v>
      </c>
      <c r="X334">
        <f t="shared" si="62"/>
        <v>0</v>
      </c>
      <c r="Y334">
        <f t="shared" si="62"/>
        <v>0</v>
      </c>
      <c r="Z334">
        <f t="shared" si="62"/>
        <v>0</v>
      </c>
      <c r="AA334">
        <f t="shared" si="62"/>
        <v>0</v>
      </c>
      <c r="AB334">
        <f t="shared" si="62"/>
        <v>0</v>
      </c>
      <c r="AC334">
        <f t="shared" si="62"/>
        <v>0.98243087564472875</v>
      </c>
      <c r="AD334">
        <f t="shared" si="62"/>
        <v>0.95870297696484874</v>
      </c>
    </row>
    <row r="335" spans="2:30">
      <c r="B335">
        <v>4.1500000000000004</v>
      </c>
      <c r="D335">
        <f t="shared" si="59"/>
        <v>0</v>
      </c>
      <c r="E335">
        <f t="shared" si="66"/>
        <v>0</v>
      </c>
      <c r="F335">
        <f t="shared" si="66"/>
        <v>0</v>
      </c>
      <c r="G335">
        <f t="shared" si="66"/>
        <v>0</v>
      </c>
      <c r="H335">
        <f t="shared" si="66"/>
        <v>0</v>
      </c>
      <c r="I335">
        <f t="shared" si="66"/>
        <v>0</v>
      </c>
      <c r="J335">
        <f t="shared" si="66"/>
        <v>0</v>
      </c>
      <c r="K335">
        <f t="shared" si="66"/>
        <v>0</v>
      </c>
      <c r="L335">
        <f t="shared" si="66"/>
        <v>2.25</v>
      </c>
      <c r="M335">
        <f t="shared" si="63"/>
        <v>102.25</v>
      </c>
      <c r="P335">
        <f t="shared" si="64"/>
        <v>4.1500000000000004</v>
      </c>
      <c r="Q335">
        <v>0.3</v>
      </c>
      <c r="R335">
        <f t="shared" si="65"/>
        <v>99.62413467068977</v>
      </c>
      <c r="S335">
        <f t="shared" si="67"/>
        <v>0.67499999999999993</v>
      </c>
      <c r="T335">
        <f t="shared" si="61"/>
        <v>100.29913467068977</v>
      </c>
      <c r="U335">
        <f t="shared" si="62"/>
        <v>0</v>
      </c>
      <c r="V335">
        <f t="shared" si="62"/>
        <v>0</v>
      </c>
      <c r="W335">
        <f t="shared" si="62"/>
        <v>0</v>
      </c>
      <c r="X335">
        <f t="shared" si="62"/>
        <v>0</v>
      </c>
      <c r="Y335">
        <f t="shared" si="62"/>
        <v>0</v>
      </c>
      <c r="Z335">
        <f t="shared" si="62"/>
        <v>0</v>
      </c>
      <c r="AA335">
        <f t="shared" si="62"/>
        <v>0</v>
      </c>
      <c r="AB335">
        <f t="shared" si="62"/>
        <v>0</v>
      </c>
      <c r="AC335">
        <f t="shared" si="62"/>
        <v>0.98303153765584805</v>
      </c>
      <c r="AD335">
        <f t="shared" si="62"/>
        <v>0.95928913164757079</v>
      </c>
    </row>
    <row r="336" spans="2:30">
      <c r="B336">
        <v>4.1624999999999996</v>
      </c>
      <c r="D336">
        <f t="shared" si="59"/>
        <v>0</v>
      </c>
      <c r="E336">
        <f t="shared" si="66"/>
        <v>0</v>
      </c>
      <c r="F336">
        <f t="shared" si="66"/>
        <v>0</v>
      </c>
      <c r="G336">
        <f t="shared" si="66"/>
        <v>0</v>
      </c>
      <c r="H336">
        <f t="shared" si="66"/>
        <v>0</v>
      </c>
      <c r="I336">
        <f t="shared" si="66"/>
        <v>0</v>
      </c>
      <c r="J336">
        <f t="shared" si="66"/>
        <v>0</v>
      </c>
      <c r="K336">
        <f t="shared" si="66"/>
        <v>0</v>
      </c>
      <c r="L336">
        <f t="shared" si="66"/>
        <v>2.25</v>
      </c>
      <c r="M336">
        <f t="shared" si="63"/>
        <v>102.25</v>
      </c>
      <c r="P336">
        <f t="shared" si="64"/>
        <v>4.1624999999999996</v>
      </c>
      <c r="Q336">
        <v>0.32500000000000001</v>
      </c>
      <c r="R336">
        <f t="shared" si="65"/>
        <v>99.629207946900195</v>
      </c>
      <c r="S336">
        <f t="shared" si="67"/>
        <v>0.73125000000000007</v>
      </c>
      <c r="T336">
        <f t="shared" si="61"/>
        <v>100.3604579469002</v>
      </c>
      <c r="U336">
        <f t="shared" si="62"/>
        <v>0</v>
      </c>
      <c r="V336">
        <f t="shared" si="62"/>
        <v>0</v>
      </c>
      <c r="W336">
        <f t="shared" si="62"/>
        <v>0</v>
      </c>
      <c r="X336">
        <f t="shared" si="62"/>
        <v>0</v>
      </c>
      <c r="Y336">
        <f t="shared" si="62"/>
        <v>0</v>
      </c>
      <c r="Z336">
        <f t="shared" si="62"/>
        <v>0</v>
      </c>
      <c r="AA336">
        <f t="shared" si="62"/>
        <v>0</v>
      </c>
      <c r="AB336">
        <f t="shared" si="62"/>
        <v>0</v>
      </c>
      <c r="AC336">
        <f t="shared" si="62"/>
        <v>0.98363256691402823</v>
      </c>
      <c r="AD336">
        <f t="shared" si="62"/>
        <v>0.95987564470751729</v>
      </c>
    </row>
    <row r="337" spans="2:30">
      <c r="B337">
        <v>4.1749999999999998</v>
      </c>
      <c r="D337">
        <f t="shared" si="59"/>
        <v>0</v>
      </c>
      <c r="E337">
        <f t="shared" si="66"/>
        <v>0</v>
      </c>
      <c r="F337">
        <f t="shared" si="66"/>
        <v>0</v>
      </c>
      <c r="G337">
        <f t="shared" si="66"/>
        <v>0</v>
      </c>
      <c r="H337">
        <f t="shared" si="66"/>
        <v>0</v>
      </c>
      <c r="I337">
        <f t="shared" si="66"/>
        <v>0</v>
      </c>
      <c r="J337">
        <f t="shared" si="66"/>
        <v>0</v>
      </c>
      <c r="K337">
        <f t="shared" si="66"/>
        <v>0</v>
      </c>
      <c r="L337">
        <f t="shared" si="66"/>
        <v>2.25</v>
      </c>
      <c r="M337">
        <f t="shared" si="63"/>
        <v>102.25</v>
      </c>
      <c r="P337">
        <f t="shared" si="64"/>
        <v>4.1749999999999998</v>
      </c>
      <c r="Q337">
        <v>0.35</v>
      </c>
      <c r="R337">
        <f t="shared" si="65"/>
        <v>99.634318716397274</v>
      </c>
      <c r="S337">
        <f t="shared" si="67"/>
        <v>0.78749999999999998</v>
      </c>
      <c r="T337">
        <f t="shared" si="61"/>
        <v>100.42181871639727</v>
      </c>
      <c r="U337">
        <f t="shared" si="62"/>
        <v>0</v>
      </c>
      <c r="V337">
        <f t="shared" si="62"/>
        <v>0</v>
      </c>
      <c r="W337">
        <f t="shared" si="62"/>
        <v>0</v>
      </c>
      <c r="X337">
        <f t="shared" si="62"/>
        <v>0</v>
      </c>
      <c r="Y337">
        <f t="shared" si="62"/>
        <v>0</v>
      </c>
      <c r="Z337">
        <f t="shared" si="62"/>
        <v>0</v>
      </c>
      <c r="AA337">
        <f t="shared" si="62"/>
        <v>0</v>
      </c>
      <c r="AB337">
        <f t="shared" si="62"/>
        <v>0</v>
      </c>
      <c r="AC337">
        <f t="shared" si="62"/>
        <v>0.98423396364380566</v>
      </c>
      <c r="AD337">
        <f t="shared" si="62"/>
        <v>0.96046251636380153</v>
      </c>
    </row>
    <row r="338" spans="2:30">
      <c r="B338">
        <v>4.1875</v>
      </c>
      <c r="D338">
        <f t="shared" si="59"/>
        <v>0</v>
      </c>
      <c r="E338">
        <f t="shared" si="66"/>
        <v>0</v>
      </c>
      <c r="F338">
        <f t="shared" si="66"/>
        <v>0</v>
      </c>
      <c r="G338">
        <f t="shared" si="66"/>
        <v>0</v>
      </c>
      <c r="H338">
        <f t="shared" si="66"/>
        <v>0</v>
      </c>
      <c r="I338">
        <f t="shared" si="66"/>
        <v>0</v>
      </c>
      <c r="J338">
        <f t="shared" si="66"/>
        <v>0</v>
      </c>
      <c r="K338">
        <f t="shared" si="66"/>
        <v>0</v>
      </c>
      <c r="L338">
        <f t="shared" si="66"/>
        <v>2.25</v>
      </c>
      <c r="M338">
        <f t="shared" si="63"/>
        <v>102.25</v>
      </c>
      <c r="P338">
        <f t="shared" si="64"/>
        <v>4.1875</v>
      </c>
      <c r="Q338">
        <v>0.375</v>
      </c>
      <c r="R338">
        <f t="shared" si="65"/>
        <v>99.63946700210451</v>
      </c>
      <c r="S338">
        <f t="shared" si="67"/>
        <v>0.84375</v>
      </c>
      <c r="T338">
        <f t="shared" si="61"/>
        <v>100.48321700210451</v>
      </c>
      <c r="U338">
        <f t="shared" si="62"/>
        <v>0</v>
      </c>
      <c r="V338">
        <f t="shared" si="62"/>
        <v>0</v>
      </c>
      <c r="W338">
        <f t="shared" si="62"/>
        <v>0</v>
      </c>
      <c r="X338">
        <f t="shared" si="62"/>
        <v>0</v>
      </c>
      <c r="Y338">
        <f t="shared" si="62"/>
        <v>0</v>
      </c>
      <c r="Z338">
        <f t="shared" si="62"/>
        <v>0</v>
      </c>
      <c r="AA338">
        <f t="shared" si="62"/>
        <v>0</v>
      </c>
      <c r="AB338">
        <f t="shared" si="62"/>
        <v>0</v>
      </c>
      <c r="AC338">
        <f t="shared" si="62"/>
        <v>0.98483572806985353</v>
      </c>
      <c r="AD338">
        <f t="shared" si="62"/>
        <v>0.96104974683567079</v>
      </c>
    </row>
    <row r="339" spans="2:30">
      <c r="B339">
        <v>4.2</v>
      </c>
      <c r="D339">
        <f t="shared" si="59"/>
        <v>0</v>
      </c>
      <c r="E339">
        <f t="shared" si="66"/>
        <v>0</v>
      </c>
      <c r="F339">
        <f t="shared" si="66"/>
        <v>0</v>
      </c>
      <c r="G339">
        <f t="shared" si="66"/>
        <v>0</v>
      </c>
      <c r="H339">
        <f t="shared" si="66"/>
        <v>0</v>
      </c>
      <c r="I339">
        <f t="shared" si="66"/>
        <v>0</v>
      </c>
      <c r="J339">
        <f t="shared" si="66"/>
        <v>0</v>
      </c>
      <c r="K339">
        <f t="shared" si="66"/>
        <v>0</v>
      </c>
      <c r="L339">
        <f t="shared" si="66"/>
        <v>2.25</v>
      </c>
      <c r="M339">
        <f t="shared" si="63"/>
        <v>102.25</v>
      </c>
      <c r="P339">
        <f t="shared" si="64"/>
        <v>4.2</v>
      </c>
      <c r="Q339">
        <v>0.4</v>
      </c>
      <c r="R339">
        <f t="shared" si="65"/>
        <v>99.644652826959458</v>
      </c>
      <c r="S339">
        <f t="shared" si="67"/>
        <v>0.9</v>
      </c>
      <c r="T339">
        <f t="shared" si="61"/>
        <v>100.54465282695946</v>
      </c>
      <c r="U339">
        <f t="shared" ref="U339:AD354" si="68">IF((1/(1+$O$3/2)^((U$2-$P339)*2))&lt;=1,1/(1+$O$3/2)^((U$2-$P339)*2),0)</f>
        <v>0</v>
      </c>
      <c r="V339">
        <f t="shared" si="68"/>
        <v>0</v>
      </c>
      <c r="W339">
        <f t="shared" si="68"/>
        <v>0</v>
      </c>
      <c r="X339">
        <f t="shared" si="68"/>
        <v>0</v>
      </c>
      <c r="Y339">
        <f t="shared" si="68"/>
        <v>0</v>
      </c>
      <c r="Z339">
        <f t="shared" si="68"/>
        <v>0</v>
      </c>
      <c r="AA339">
        <f t="shared" si="68"/>
        <v>0</v>
      </c>
      <c r="AB339">
        <f t="shared" si="68"/>
        <v>0</v>
      </c>
      <c r="AC339">
        <f t="shared" si="68"/>
        <v>0.98543786041698334</v>
      </c>
      <c r="AD339">
        <f t="shared" si="68"/>
        <v>0.96163733634250614</v>
      </c>
    </row>
    <row r="340" spans="2:30">
      <c r="B340">
        <v>4.2125000000000004</v>
      </c>
      <c r="D340">
        <f t="shared" si="59"/>
        <v>0</v>
      </c>
      <c r="E340">
        <f t="shared" si="66"/>
        <v>0</v>
      </c>
      <c r="F340">
        <f t="shared" si="66"/>
        <v>0</v>
      </c>
      <c r="G340">
        <f t="shared" si="66"/>
        <v>0</v>
      </c>
      <c r="H340">
        <f t="shared" si="66"/>
        <v>0</v>
      </c>
      <c r="I340">
        <f t="shared" si="66"/>
        <v>0</v>
      </c>
      <c r="J340">
        <f t="shared" si="66"/>
        <v>0</v>
      </c>
      <c r="K340">
        <f t="shared" si="66"/>
        <v>0</v>
      </c>
      <c r="L340">
        <f t="shared" si="66"/>
        <v>2.25</v>
      </c>
      <c r="M340">
        <f t="shared" si="63"/>
        <v>102.25</v>
      </c>
      <c r="P340">
        <f t="shared" si="64"/>
        <v>4.2125000000000004</v>
      </c>
      <c r="Q340">
        <v>0.42499999999999999</v>
      </c>
      <c r="R340">
        <f t="shared" si="65"/>
        <v>99.649876213913743</v>
      </c>
      <c r="S340">
        <f t="shared" si="67"/>
        <v>0.95624999999999993</v>
      </c>
      <c r="T340">
        <f t="shared" si="61"/>
        <v>100.60612621391374</v>
      </c>
      <c r="U340">
        <f t="shared" si="68"/>
        <v>0</v>
      </c>
      <c r="V340">
        <f t="shared" si="68"/>
        <v>0</v>
      </c>
      <c r="W340">
        <f t="shared" si="68"/>
        <v>0</v>
      </c>
      <c r="X340">
        <f t="shared" si="68"/>
        <v>0</v>
      </c>
      <c r="Y340">
        <f t="shared" si="68"/>
        <v>0</v>
      </c>
      <c r="Z340">
        <f t="shared" si="68"/>
        <v>0</v>
      </c>
      <c r="AA340">
        <f t="shared" si="68"/>
        <v>0</v>
      </c>
      <c r="AB340">
        <f t="shared" si="68"/>
        <v>0</v>
      </c>
      <c r="AC340">
        <f t="shared" si="68"/>
        <v>0.98604036091014291</v>
      </c>
      <c r="AD340">
        <f t="shared" si="68"/>
        <v>0.96222528510382321</v>
      </c>
    </row>
    <row r="341" spans="2:30">
      <c r="B341">
        <v>4.2249999999999996</v>
      </c>
      <c r="D341">
        <f t="shared" si="59"/>
        <v>0</v>
      </c>
      <c r="E341">
        <f t="shared" si="66"/>
        <v>0</v>
      </c>
      <c r="F341">
        <f t="shared" si="66"/>
        <v>0</v>
      </c>
      <c r="G341">
        <f t="shared" si="66"/>
        <v>0</v>
      </c>
      <c r="H341">
        <f t="shared" si="66"/>
        <v>0</v>
      </c>
      <c r="I341">
        <f t="shared" si="66"/>
        <v>0</v>
      </c>
      <c r="J341">
        <f t="shared" si="66"/>
        <v>0</v>
      </c>
      <c r="K341">
        <f t="shared" si="66"/>
        <v>0</v>
      </c>
      <c r="L341">
        <f t="shared" si="66"/>
        <v>2.25</v>
      </c>
      <c r="M341">
        <f t="shared" si="63"/>
        <v>102.25</v>
      </c>
      <c r="P341">
        <f t="shared" si="64"/>
        <v>4.2249999999999996</v>
      </c>
      <c r="Q341">
        <v>0.45</v>
      </c>
      <c r="R341">
        <f t="shared" si="65"/>
        <v>99.655137185932929</v>
      </c>
      <c r="S341">
        <f t="shared" si="67"/>
        <v>1.0125</v>
      </c>
      <c r="T341">
        <f t="shared" si="61"/>
        <v>100.66763718593293</v>
      </c>
      <c r="U341">
        <f t="shared" si="68"/>
        <v>0</v>
      </c>
      <c r="V341">
        <f t="shared" si="68"/>
        <v>0</v>
      </c>
      <c r="W341">
        <f t="shared" si="68"/>
        <v>0</v>
      </c>
      <c r="X341">
        <f t="shared" si="68"/>
        <v>0</v>
      </c>
      <c r="Y341">
        <f t="shared" si="68"/>
        <v>0</v>
      </c>
      <c r="Z341">
        <f t="shared" si="68"/>
        <v>0</v>
      </c>
      <c r="AA341">
        <f t="shared" si="68"/>
        <v>0</v>
      </c>
      <c r="AB341">
        <f t="shared" si="68"/>
        <v>0</v>
      </c>
      <c r="AC341">
        <f t="shared" si="68"/>
        <v>0.98664322977441832</v>
      </c>
      <c r="AD341">
        <f t="shared" si="68"/>
        <v>0.96281359333927141</v>
      </c>
    </row>
    <row r="342" spans="2:30">
      <c r="B342">
        <v>4.2374999999999998</v>
      </c>
      <c r="D342">
        <f t="shared" si="59"/>
        <v>0</v>
      </c>
      <c r="E342">
        <f t="shared" si="66"/>
        <v>0</v>
      </c>
      <c r="F342">
        <f t="shared" si="66"/>
        <v>0</v>
      </c>
      <c r="G342">
        <f t="shared" si="66"/>
        <v>0</v>
      </c>
      <c r="H342">
        <f t="shared" si="66"/>
        <v>0</v>
      </c>
      <c r="I342">
        <f t="shared" si="66"/>
        <v>0</v>
      </c>
      <c r="J342">
        <f t="shared" si="66"/>
        <v>0</v>
      </c>
      <c r="K342">
        <f t="shared" si="66"/>
        <v>0</v>
      </c>
      <c r="L342">
        <f t="shared" si="66"/>
        <v>2.25</v>
      </c>
      <c r="M342">
        <f t="shared" si="63"/>
        <v>102.25</v>
      </c>
      <c r="P342">
        <f t="shared" si="64"/>
        <v>4.2374999999999998</v>
      </c>
      <c r="Q342">
        <v>0.47499999999999998</v>
      </c>
      <c r="R342">
        <f t="shared" si="65"/>
        <v>99.660435765996695</v>
      </c>
      <c r="S342">
        <f t="shared" si="67"/>
        <v>1.0687499999999999</v>
      </c>
      <c r="T342">
        <f t="shared" si="61"/>
        <v>100.72918576599669</v>
      </c>
      <c r="U342">
        <f t="shared" si="68"/>
        <v>0</v>
      </c>
      <c r="V342">
        <f t="shared" si="68"/>
        <v>0</v>
      </c>
      <c r="W342">
        <f t="shared" si="68"/>
        <v>0</v>
      </c>
      <c r="X342">
        <f t="shared" si="68"/>
        <v>0</v>
      </c>
      <c r="Y342">
        <f t="shared" si="68"/>
        <v>0</v>
      </c>
      <c r="Z342">
        <f t="shared" si="68"/>
        <v>0</v>
      </c>
      <c r="AA342">
        <f t="shared" si="68"/>
        <v>0</v>
      </c>
      <c r="AB342">
        <f t="shared" si="68"/>
        <v>0</v>
      </c>
      <c r="AC342">
        <f t="shared" si="68"/>
        <v>0.98724646723503318</v>
      </c>
      <c r="AD342">
        <f t="shared" si="68"/>
        <v>0.96340226126863449</v>
      </c>
    </row>
    <row r="343" spans="2:30">
      <c r="B343">
        <v>4.25</v>
      </c>
      <c r="D343">
        <f t="shared" si="59"/>
        <v>0</v>
      </c>
      <c r="E343">
        <f t="shared" si="66"/>
        <v>0</v>
      </c>
      <c r="F343">
        <f t="shared" si="66"/>
        <v>0</v>
      </c>
      <c r="G343">
        <f t="shared" si="66"/>
        <v>0</v>
      </c>
      <c r="H343">
        <f t="shared" si="66"/>
        <v>0</v>
      </c>
      <c r="I343">
        <f t="shared" si="66"/>
        <v>0</v>
      </c>
      <c r="J343">
        <f t="shared" si="66"/>
        <v>0</v>
      </c>
      <c r="K343">
        <f t="shared" si="66"/>
        <v>0</v>
      </c>
      <c r="L343">
        <f t="shared" si="66"/>
        <v>2.25</v>
      </c>
      <c r="M343">
        <f t="shared" si="63"/>
        <v>102.25</v>
      </c>
      <c r="P343">
        <f t="shared" si="64"/>
        <v>4.25</v>
      </c>
      <c r="Q343">
        <v>0.5</v>
      </c>
      <c r="R343">
        <f t="shared" si="65"/>
        <v>99.665771977098757</v>
      </c>
      <c r="S343">
        <f t="shared" si="67"/>
        <v>1.125</v>
      </c>
      <c r="T343">
        <f t="shared" si="61"/>
        <v>100.79077197709876</v>
      </c>
      <c r="U343">
        <f t="shared" si="68"/>
        <v>0</v>
      </c>
      <c r="V343">
        <f t="shared" si="68"/>
        <v>0</v>
      </c>
      <c r="W343">
        <f t="shared" si="68"/>
        <v>0</v>
      </c>
      <c r="X343">
        <f t="shared" si="68"/>
        <v>0</v>
      </c>
      <c r="Y343">
        <f t="shared" si="68"/>
        <v>0</v>
      </c>
      <c r="Z343">
        <f t="shared" si="68"/>
        <v>0</v>
      </c>
      <c r="AA343">
        <f t="shared" si="68"/>
        <v>0</v>
      </c>
      <c r="AB343">
        <f t="shared" si="68"/>
        <v>0</v>
      </c>
      <c r="AC343">
        <f t="shared" si="68"/>
        <v>0.98785007351734877</v>
      </c>
      <c r="AD343">
        <f t="shared" si="68"/>
        <v>0.96399128911183096</v>
      </c>
    </row>
    <row r="344" spans="2:30">
      <c r="B344">
        <v>4.2625000000000002</v>
      </c>
      <c r="D344">
        <f t="shared" si="59"/>
        <v>0</v>
      </c>
      <c r="E344">
        <f t="shared" si="66"/>
        <v>0</v>
      </c>
      <c r="F344">
        <f t="shared" si="66"/>
        <v>0</v>
      </c>
      <c r="G344">
        <f t="shared" si="66"/>
        <v>0</v>
      </c>
      <c r="H344">
        <f t="shared" si="66"/>
        <v>0</v>
      </c>
      <c r="I344">
        <f t="shared" si="66"/>
        <v>0</v>
      </c>
      <c r="J344">
        <f t="shared" si="66"/>
        <v>0</v>
      </c>
      <c r="K344">
        <f t="shared" si="66"/>
        <v>0</v>
      </c>
      <c r="L344">
        <f t="shared" si="66"/>
        <v>2.25</v>
      </c>
      <c r="M344">
        <f t="shared" si="63"/>
        <v>102.25</v>
      </c>
      <c r="P344">
        <f t="shared" si="64"/>
        <v>4.2625000000000002</v>
      </c>
      <c r="Q344">
        <v>0.52500000000000002</v>
      </c>
      <c r="R344">
        <f t="shared" si="65"/>
        <v>99.671145842246801</v>
      </c>
      <c r="S344">
        <f t="shared" si="67"/>
        <v>1.1812500000000001</v>
      </c>
      <c r="T344">
        <f t="shared" si="61"/>
        <v>100.85239584224681</v>
      </c>
      <c r="U344">
        <f t="shared" si="68"/>
        <v>0</v>
      </c>
      <c r="V344">
        <f t="shared" si="68"/>
        <v>0</v>
      </c>
      <c r="W344">
        <f t="shared" si="68"/>
        <v>0</v>
      </c>
      <c r="X344">
        <f t="shared" si="68"/>
        <v>0</v>
      </c>
      <c r="Y344">
        <f t="shared" si="68"/>
        <v>0</v>
      </c>
      <c r="Z344">
        <f t="shared" si="68"/>
        <v>0</v>
      </c>
      <c r="AA344">
        <f t="shared" si="68"/>
        <v>0</v>
      </c>
      <c r="AB344">
        <f t="shared" si="68"/>
        <v>0</v>
      </c>
      <c r="AC344">
        <f t="shared" si="68"/>
        <v>0.98845404884686383</v>
      </c>
      <c r="AD344">
        <f t="shared" si="68"/>
        <v>0.96458067708891304</v>
      </c>
    </row>
    <row r="345" spans="2:30">
      <c r="B345">
        <v>4.2750000000000004</v>
      </c>
      <c r="D345">
        <f t="shared" si="59"/>
        <v>0</v>
      </c>
      <c r="E345">
        <f t="shared" si="66"/>
        <v>0</v>
      </c>
      <c r="F345">
        <f t="shared" si="66"/>
        <v>0</v>
      </c>
      <c r="G345">
        <f t="shared" si="66"/>
        <v>0</v>
      </c>
      <c r="H345">
        <f t="shared" si="66"/>
        <v>0</v>
      </c>
      <c r="I345">
        <f t="shared" si="66"/>
        <v>0</v>
      </c>
      <c r="J345">
        <f t="shared" si="66"/>
        <v>0</v>
      </c>
      <c r="K345">
        <f t="shared" si="66"/>
        <v>0</v>
      </c>
      <c r="L345">
        <f t="shared" si="66"/>
        <v>2.25</v>
      </c>
      <c r="M345">
        <f t="shared" si="63"/>
        <v>102.25</v>
      </c>
      <c r="P345">
        <f t="shared" si="64"/>
        <v>4.2750000000000004</v>
      </c>
      <c r="Q345">
        <v>0.55000000000000004</v>
      </c>
      <c r="R345">
        <f t="shared" si="65"/>
        <v>99.676557384462754</v>
      </c>
      <c r="S345">
        <f t="shared" si="67"/>
        <v>1.2375</v>
      </c>
      <c r="T345">
        <f t="shared" si="61"/>
        <v>100.91405738446275</v>
      </c>
      <c r="U345">
        <f t="shared" si="68"/>
        <v>0</v>
      </c>
      <c r="V345">
        <f t="shared" si="68"/>
        <v>0</v>
      </c>
      <c r="W345">
        <f t="shared" si="68"/>
        <v>0</v>
      </c>
      <c r="X345">
        <f t="shared" si="68"/>
        <v>0</v>
      </c>
      <c r="Y345">
        <f t="shared" si="68"/>
        <v>0</v>
      </c>
      <c r="Z345">
        <f t="shared" si="68"/>
        <v>0</v>
      </c>
      <c r="AA345">
        <f t="shared" si="68"/>
        <v>0</v>
      </c>
      <c r="AB345">
        <f t="shared" si="68"/>
        <v>0</v>
      </c>
      <c r="AC345">
        <f t="shared" si="68"/>
        <v>0.98905839344921531</v>
      </c>
      <c r="AD345">
        <f t="shared" si="68"/>
        <v>0.96517042542006859</v>
      </c>
    </row>
    <row r="346" spans="2:30">
      <c r="B346">
        <v>4.2874999999999996</v>
      </c>
      <c r="D346">
        <f t="shared" si="59"/>
        <v>0</v>
      </c>
      <c r="E346">
        <f t="shared" si="66"/>
        <v>0</v>
      </c>
      <c r="F346">
        <f t="shared" si="66"/>
        <v>0</v>
      </c>
      <c r="G346">
        <f t="shared" si="66"/>
        <v>0</v>
      </c>
      <c r="H346">
        <f t="shared" si="66"/>
        <v>0</v>
      </c>
      <c r="I346">
        <f t="shared" si="66"/>
        <v>0</v>
      </c>
      <c r="J346">
        <f t="shared" si="66"/>
        <v>0</v>
      </c>
      <c r="K346">
        <f t="shared" si="66"/>
        <v>0</v>
      </c>
      <c r="L346">
        <f t="shared" si="66"/>
        <v>2.25</v>
      </c>
      <c r="M346">
        <f t="shared" si="63"/>
        <v>102.25</v>
      </c>
      <c r="P346">
        <f t="shared" si="64"/>
        <v>4.2874999999999996</v>
      </c>
      <c r="Q346">
        <v>0.57499999999999996</v>
      </c>
      <c r="R346">
        <f t="shared" si="65"/>
        <v>99.682006626782453</v>
      </c>
      <c r="S346">
        <f t="shared" si="67"/>
        <v>1.29375</v>
      </c>
      <c r="T346">
        <f t="shared" si="61"/>
        <v>100.97575662678246</v>
      </c>
      <c r="U346">
        <f t="shared" si="68"/>
        <v>0</v>
      </c>
      <c r="V346">
        <f t="shared" si="68"/>
        <v>0</v>
      </c>
      <c r="W346">
        <f t="shared" si="68"/>
        <v>0</v>
      </c>
      <c r="X346">
        <f t="shared" si="68"/>
        <v>0</v>
      </c>
      <c r="Y346">
        <f t="shared" si="68"/>
        <v>0</v>
      </c>
      <c r="Z346">
        <f t="shared" si="68"/>
        <v>0</v>
      </c>
      <c r="AA346">
        <f t="shared" si="68"/>
        <v>0</v>
      </c>
      <c r="AB346">
        <f t="shared" si="68"/>
        <v>0</v>
      </c>
      <c r="AC346">
        <f t="shared" si="68"/>
        <v>0.98966310755017817</v>
      </c>
      <c r="AD346">
        <f t="shared" si="68"/>
        <v>0.96576053432561904</v>
      </c>
    </row>
    <row r="347" spans="2:30">
      <c r="B347">
        <v>4.3</v>
      </c>
      <c r="D347">
        <f t="shared" si="59"/>
        <v>0</v>
      </c>
      <c r="E347">
        <f t="shared" si="66"/>
        <v>0</v>
      </c>
      <c r="F347">
        <f t="shared" si="66"/>
        <v>0</v>
      </c>
      <c r="G347">
        <f t="shared" si="66"/>
        <v>0</v>
      </c>
      <c r="H347">
        <f t="shared" si="66"/>
        <v>0</v>
      </c>
      <c r="I347">
        <f t="shared" si="66"/>
        <v>0</v>
      </c>
      <c r="J347">
        <f t="shared" si="66"/>
        <v>0</v>
      </c>
      <c r="K347">
        <f t="shared" si="66"/>
        <v>0</v>
      </c>
      <c r="L347">
        <f t="shared" si="66"/>
        <v>2.25</v>
      </c>
      <c r="M347">
        <f t="shared" si="63"/>
        <v>102.25</v>
      </c>
      <c r="P347">
        <f t="shared" si="64"/>
        <v>4.3</v>
      </c>
      <c r="Q347">
        <v>0.6</v>
      </c>
      <c r="R347">
        <f t="shared" si="65"/>
        <v>99.68749359225589</v>
      </c>
      <c r="S347">
        <f t="shared" si="67"/>
        <v>1.3499999999999999</v>
      </c>
      <c r="T347">
        <f t="shared" si="61"/>
        <v>101.03749359225588</v>
      </c>
      <c r="U347">
        <f t="shared" si="68"/>
        <v>0</v>
      </c>
      <c r="V347">
        <f t="shared" si="68"/>
        <v>0</v>
      </c>
      <c r="W347">
        <f t="shared" si="68"/>
        <v>0</v>
      </c>
      <c r="X347">
        <f t="shared" si="68"/>
        <v>0</v>
      </c>
      <c r="Y347">
        <f t="shared" si="68"/>
        <v>0</v>
      </c>
      <c r="Z347">
        <f t="shared" si="68"/>
        <v>0</v>
      </c>
      <c r="AA347">
        <f t="shared" si="68"/>
        <v>0</v>
      </c>
      <c r="AB347">
        <f t="shared" si="68"/>
        <v>0</v>
      </c>
      <c r="AC347">
        <f t="shared" si="68"/>
        <v>0.99026819137566513</v>
      </c>
      <c r="AD347">
        <f t="shared" si="68"/>
        <v>0.96635100402602103</v>
      </c>
    </row>
    <row r="348" spans="2:30">
      <c r="B348">
        <v>4.3125</v>
      </c>
      <c r="D348">
        <f t="shared" si="59"/>
        <v>0</v>
      </c>
      <c r="E348">
        <f t="shared" si="66"/>
        <v>0</v>
      </c>
      <c r="F348">
        <f t="shared" si="66"/>
        <v>0</v>
      </c>
      <c r="G348">
        <f t="shared" si="66"/>
        <v>0</v>
      </c>
      <c r="H348">
        <f t="shared" si="66"/>
        <v>0</v>
      </c>
      <c r="I348">
        <f t="shared" si="66"/>
        <v>0</v>
      </c>
      <c r="J348">
        <f t="shared" si="66"/>
        <v>0</v>
      </c>
      <c r="K348">
        <f t="shared" si="66"/>
        <v>0</v>
      </c>
      <c r="L348">
        <f t="shared" si="66"/>
        <v>2.25</v>
      </c>
      <c r="M348">
        <f t="shared" si="63"/>
        <v>102.25</v>
      </c>
      <c r="P348">
        <f t="shared" si="64"/>
        <v>4.3125</v>
      </c>
      <c r="Q348">
        <v>0.625</v>
      </c>
      <c r="R348">
        <f t="shared" si="65"/>
        <v>99.693018303947198</v>
      </c>
      <c r="S348">
        <f t="shared" si="67"/>
        <v>1.40625</v>
      </c>
      <c r="T348">
        <f t="shared" si="61"/>
        <v>101.0992683039472</v>
      </c>
      <c r="U348">
        <f t="shared" si="68"/>
        <v>0</v>
      </c>
      <c r="V348">
        <f t="shared" si="68"/>
        <v>0</v>
      </c>
      <c r="W348">
        <f t="shared" si="68"/>
        <v>0</v>
      </c>
      <c r="X348">
        <f t="shared" si="68"/>
        <v>0</v>
      </c>
      <c r="Y348">
        <f t="shared" si="68"/>
        <v>0</v>
      </c>
      <c r="Z348">
        <f t="shared" si="68"/>
        <v>0</v>
      </c>
      <c r="AA348">
        <f t="shared" si="68"/>
        <v>0</v>
      </c>
      <c r="AB348">
        <f t="shared" si="68"/>
        <v>0</v>
      </c>
      <c r="AC348">
        <f t="shared" si="68"/>
        <v>0.99087364515172727</v>
      </c>
      <c r="AD348">
        <f t="shared" si="68"/>
        <v>0.96694183474186624</v>
      </c>
    </row>
    <row r="349" spans="2:30">
      <c r="B349">
        <v>4.3250000000000002</v>
      </c>
      <c r="D349">
        <f t="shared" si="59"/>
        <v>0</v>
      </c>
      <c r="E349">
        <f t="shared" si="66"/>
        <v>0</v>
      </c>
      <c r="F349">
        <f t="shared" si="66"/>
        <v>0</v>
      </c>
      <c r="G349">
        <f t="shared" si="66"/>
        <v>0</v>
      </c>
      <c r="H349">
        <f t="shared" si="66"/>
        <v>0</v>
      </c>
      <c r="I349">
        <f t="shared" si="66"/>
        <v>0</v>
      </c>
      <c r="J349">
        <f t="shared" si="66"/>
        <v>0</v>
      </c>
      <c r="K349">
        <f t="shared" si="66"/>
        <v>0</v>
      </c>
      <c r="L349">
        <f t="shared" si="66"/>
        <v>2.25</v>
      </c>
      <c r="M349">
        <f t="shared" si="63"/>
        <v>102.25</v>
      </c>
      <c r="P349">
        <f t="shared" si="64"/>
        <v>4.3250000000000002</v>
      </c>
      <c r="Q349">
        <v>0.65</v>
      </c>
      <c r="R349">
        <f t="shared" si="65"/>
        <v>99.698580784934506</v>
      </c>
      <c r="S349">
        <f t="shared" si="67"/>
        <v>1.4625000000000001</v>
      </c>
      <c r="T349">
        <f t="shared" si="61"/>
        <v>101.16108078493451</v>
      </c>
      <c r="U349">
        <f t="shared" si="68"/>
        <v>0</v>
      </c>
      <c r="V349">
        <f t="shared" si="68"/>
        <v>0</v>
      </c>
      <c r="W349">
        <f t="shared" si="68"/>
        <v>0</v>
      </c>
      <c r="X349">
        <f t="shared" si="68"/>
        <v>0</v>
      </c>
      <c r="Y349">
        <f t="shared" si="68"/>
        <v>0</v>
      </c>
      <c r="Z349">
        <f t="shared" si="68"/>
        <v>0</v>
      </c>
      <c r="AA349">
        <f t="shared" si="68"/>
        <v>0</v>
      </c>
      <c r="AB349">
        <f t="shared" si="68"/>
        <v>0</v>
      </c>
      <c r="AC349">
        <f t="shared" si="68"/>
        <v>0.99147946910455398</v>
      </c>
      <c r="AD349">
        <f t="shared" si="68"/>
        <v>0.96753302669388042</v>
      </c>
    </row>
    <row r="350" spans="2:30">
      <c r="B350">
        <v>4.3375000000000004</v>
      </c>
      <c r="D350">
        <f t="shared" si="59"/>
        <v>0</v>
      </c>
      <c r="E350">
        <f t="shared" si="66"/>
        <v>0</v>
      </c>
      <c r="F350">
        <f t="shared" si="66"/>
        <v>0</v>
      </c>
      <c r="G350">
        <f t="shared" si="66"/>
        <v>0</v>
      </c>
      <c r="H350">
        <f t="shared" si="66"/>
        <v>0</v>
      </c>
      <c r="I350">
        <f t="shared" si="66"/>
        <v>0</v>
      </c>
      <c r="J350">
        <f t="shared" si="66"/>
        <v>0</v>
      </c>
      <c r="K350">
        <f t="shared" si="66"/>
        <v>0</v>
      </c>
      <c r="L350">
        <f t="shared" si="66"/>
        <v>2.25</v>
      </c>
      <c r="M350">
        <f t="shared" si="63"/>
        <v>102.25</v>
      </c>
      <c r="P350">
        <f t="shared" si="64"/>
        <v>4.3375000000000004</v>
      </c>
      <c r="Q350">
        <v>0.67500000000000004</v>
      </c>
      <c r="R350">
        <f t="shared" si="65"/>
        <v>99.704181058310141</v>
      </c>
      <c r="S350">
        <f t="shared" si="67"/>
        <v>1.51875</v>
      </c>
      <c r="T350">
        <f t="shared" si="61"/>
        <v>101.22293105831014</v>
      </c>
      <c r="U350">
        <f t="shared" si="68"/>
        <v>0</v>
      </c>
      <c r="V350">
        <f t="shared" si="68"/>
        <v>0</v>
      </c>
      <c r="W350">
        <f t="shared" si="68"/>
        <v>0</v>
      </c>
      <c r="X350">
        <f t="shared" si="68"/>
        <v>0</v>
      </c>
      <c r="Y350">
        <f t="shared" si="68"/>
        <v>0</v>
      </c>
      <c r="Z350">
        <f t="shared" si="68"/>
        <v>0</v>
      </c>
      <c r="AA350">
        <f t="shared" si="68"/>
        <v>0</v>
      </c>
      <c r="AB350">
        <f t="shared" si="68"/>
        <v>0</v>
      </c>
      <c r="AC350">
        <f t="shared" si="68"/>
        <v>0.99208566346047244</v>
      </c>
      <c r="AD350">
        <f t="shared" si="68"/>
        <v>0.9681245801029249</v>
      </c>
    </row>
    <row r="351" spans="2:30">
      <c r="B351">
        <v>4.3499999999999996</v>
      </c>
      <c r="D351">
        <f t="shared" si="59"/>
        <v>0</v>
      </c>
      <c r="E351">
        <f t="shared" si="66"/>
        <v>0</v>
      </c>
      <c r="F351">
        <f t="shared" si="66"/>
        <v>0</v>
      </c>
      <c r="G351">
        <f t="shared" si="66"/>
        <v>0</v>
      </c>
      <c r="H351">
        <f t="shared" si="66"/>
        <v>0</v>
      </c>
      <c r="I351">
        <f t="shared" si="66"/>
        <v>0</v>
      </c>
      <c r="J351">
        <f t="shared" si="66"/>
        <v>0</v>
      </c>
      <c r="K351">
        <f t="shared" si="66"/>
        <v>0</v>
      </c>
      <c r="L351">
        <f t="shared" si="66"/>
        <v>2.25</v>
      </c>
      <c r="M351">
        <f t="shared" si="63"/>
        <v>102.25</v>
      </c>
      <c r="P351">
        <f t="shared" si="64"/>
        <v>4.3499999999999996</v>
      </c>
      <c r="Q351">
        <v>0.7</v>
      </c>
      <c r="R351">
        <f t="shared" si="65"/>
        <v>99.709819147180468</v>
      </c>
      <c r="S351">
        <f t="shared" si="67"/>
        <v>1.575</v>
      </c>
      <c r="T351">
        <f t="shared" si="61"/>
        <v>101.28481914718047</v>
      </c>
      <c r="U351">
        <f t="shared" si="68"/>
        <v>0</v>
      </c>
      <c r="V351">
        <f t="shared" si="68"/>
        <v>0</v>
      </c>
      <c r="W351">
        <f t="shared" si="68"/>
        <v>0</v>
      </c>
      <c r="X351">
        <f t="shared" si="68"/>
        <v>0</v>
      </c>
      <c r="Y351">
        <f t="shared" si="68"/>
        <v>0</v>
      </c>
      <c r="Z351">
        <f t="shared" si="68"/>
        <v>0</v>
      </c>
      <c r="AA351">
        <f t="shared" si="68"/>
        <v>0</v>
      </c>
      <c r="AB351">
        <f t="shared" si="68"/>
        <v>0</v>
      </c>
      <c r="AC351">
        <f t="shared" si="68"/>
        <v>0.99269222844594862</v>
      </c>
      <c r="AD351">
        <f t="shared" si="68"/>
        <v>0.96871649518999603</v>
      </c>
    </row>
    <row r="352" spans="2:30">
      <c r="B352">
        <v>4.3624999999999998</v>
      </c>
      <c r="D352">
        <f t="shared" si="59"/>
        <v>0</v>
      </c>
      <c r="E352">
        <f t="shared" si="66"/>
        <v>0</v>
      </c>
      <c r="F352">
        <f t="shared" si="66"/>
        <v>0</v>
      </c>
      <c r="G352">
        <f t="shared" si="66"/>
        <v>0</v>
      </c>
      <c r="H352">
        <f t="shared" si="66"/>
        <v>0</v>
      </c>
      <c r="I352">
        <f t="shared" si="66"/>
        <v>0</v>
      </c>
      <c r="J352">
        <f t="shared" si="66"/>
        <v>0</v>
      </c>
      <c r="K352">
        <f t="shared" si="66"/>
        <v>0</v>
      </c>
      <c r="L352">
        <f t="shared" si="66"/>
        <v>2.25</v>
      </c>
      <c r="M352">
        <f t="shared" si="63"/>
        <v>102.25</v>
      </c>
      <c r="P352">
        <f t="shared" si="64"/>
        <v>4.3624999999999998</v>
      </c>
      <c r="Q352">
        <v>0.72499999999999998</v>
      </c>
      <c r="R352">
        <f t="shared" si="65"/>
        <v>99.715495074666094</v>
      </c>
      <c r="S352">
        <f t="shared" si="67"/>
        <v>1.6312499999999999</v>
      </c>
      <c r="T352">
        <f t="shared" si="61"/>
        <v>101.34674507466609</v>
      </c>
      <c r="U352">
        <f t="shared" si="68"/>
        <v>0</v>
      </c>
      <c r="V352">
        <f t="shared" si="68"/>
        <v>0</v>
      </c>
      <c r="W352">
        <f t="shared" si="68"/>
        <v>0</v>
      </c>
      <c r="X352">
        <f t="shared" si="68"/>
        <v>0</v>
      </c>
      <c r="Y352">
        <f t="shared" si="68"/>
        <v>0</v>
      </c>
      <c r="Z352">
        <f t="shared" si="68"/>
        <v>0</v>
      </c>
      <c r="AA352">
        <f t="shared" si="68"/>
        <v>0</v>
      </c>
      <c r="AB352">
        <f t="shared" si="68"/>
        <v>0</v>
      </c>
      <c r="AC352">
        <f t="shared" si="68"/>
        <v>0.9932991642875868</v>
      </c>
      <c r="AD352">
        <f t="shared" si="68"/>
        <v>0.96930877217622513</v>
      </c>
    </row>
    <row r="353" spans="2:30">
      <c r="B353">
        <v>4.375</v>
      </c>
      <c r="D353">
        <f t="shared" si="59"/>
        <v>0</v>
      </c>
      <c r="E353">
        <f t="shared" si="66"/>
        <v>0</v>
      </c>
      <c r="F353">
        <f t="shared" si="66"/>
        <v>0</v>
      </c>
      <c r="G353">
        <f t="shared" si="66"/>
        <v>0</v>
      </c>
      <c r="H353">
        <f t="shared" si="66"/>
        <v>0</v>
      </c>
      <c r="I353">
        <f t="shared" si="66"/>
        <v>0</v>
      </c>
      <c r="J353">
        <f t="shared" si="66"/>
        <v>0</v>
      </c>
      <c r="K353">
        <f t="shared" si="66"/>
        <v>0</v>
      </c>
      <c r="L353">
        <f t="shared" si="66"/>
        <v>2.25</v>
      </c>
      <c r="M353">
        <f t="shared" si="63"/>
        <v>102.25</v>
      </c>
      <c r="P353">
        <f t="shared" si="64"/>
        <v>4.375</v>
      </c>
      <c r="Q353">
        <v>0.75</v>
      </c>
      <c r="R353">
        <f t="shared" si="65"/>
        <v>99.721208863901637</v>
      </c>
      <c r="S353">
        <f t="shared" si="67"/>
        <v>1.6875</v>
      </c>
      <c r="T353">
        <f t="shared" si="61"/>
        <v>101.40870886390164</v>
      </c>
      <c r="U353">
        <f t="shared" si="68"/>
        <v>0</v>
      </c>
      <c r="V353">
        <f t="shared" si="68"/>
        <v>0</v>
      </c>
      <c r="W353">
        <f t="shared" si="68"/>
        <v>0</v>
      </c>
      <c r="X353">
        <f t="shared" si="68"/>
        <v>0</v>
      </c>
      <c r="Y353">
        <f t="shared" si="68"/>
        <v>0</v>
      </c>
      <c r="Z353">
        <f t="shared" si="68"/>
        <v>0</v>
      </c>
      <c r="AA353">
        <f t="shared" si="68"/>
        <v>0</v>
      </c>
      <c r="AB353">
        <f t="shared" si="68"/>
        <v>0</v>
      </c>
      <c r="AC353">
        <f t="shared" si="68"/>
        <v>0.99390647121212994</v>
      </c>
      <c r="AD353">
        <f t="shared" si="68"/>
        <v>0.96990141128287866</v>
      </c>
    </row>
    <row r="354" spans="2:30">
      <c r="B354">
        <v>4.3875000000000002</v>
      </c>
      <c r="D354">
        <f t="shared" si="59"/>
        <v>0</v>
      </c>
      <c r="E354">
        <f t="shared" si="66"/>
        <v>0</v>
      </c>
      <c r="F354">
        <f t="shared" si="66"/>
        <v>0</v>
      </c>
      <c r="G354">
        <f t="shared" si="66"/>
        <v>0</v>
      </c>
      <c r="H354">
        <f t="shared" si="66"/>
        <v>0</v>
      </c>
      <c r="I354">
        <f t="shared" si="66"/>
        <v>0</v>
      </c>
      <c r="J354">
        <f t="shared" si="66"/>
        <v>0</v>
      </c>
      <c r="K354">
        <f t="shared" si="66"/>
        <v>0</v>
      </c>
      <c r="L354">
        <f t="shared" si="66"/>
        <v>2.25</v>
      </c>
      <c r="M354">
        <f t="shared" si="63"/>
        <v>102.25</v>
      </c>
      <c r="P354">
        <f t="shared" si="64"/>
        <v>4.3875000000000002</v>
      </c>
      <c r="Q354">
        <v>0.77500000000000002</v>
      </c>
      <c r="R354">
        <f t="shared" si="65"/>
        <v>99.726960538035925</v>
      </c>
      <c r="S354">
        <f t="shared" si="67"/>
        <v>1.7437500000000001</v>
      </c>
      <c r="T354">
        <f t="shared" si="61"/>
        <v>101.47071053803593</v>
      </c>
      <c r="U354">
        <f t="shared" si="68"/>
        <v>0</v>
      </c>
      <c r="V354">
        <f t="shared" si="68"/>
        <v>0</v>
      </c>
      <c r="W354">
        <f t="shared" si="68"/>
        <v>0</v>
      </c>
      <c r="X354">
        <f t="shared" si="68"/>
        <v>0</v>
      </c>
      <c r="Y354">
        <f t="shared" si="68"/>
        <v>0</v>
      </c>
      <c r="Z354">
        <f t="shared" si="68"/>
        <v>0</v>
      </c>
      <c r="AA354">
        <f t="shared" si="68"/>
        <v>0</v>
      </c>
      <c r="AB354">
        <f t="shared" si="68"/>
        <v>0</v>
      </c>
      <c r="AC354">
        <f t="shared" si="68"/>
        <v>0.99451414944645966</v>
      </c>
      <c r="AD354">
        <f t="shared" si="68"/>
        <v>0.9704944127313585</v>
      </c>
    </row>
    <row r="355" spans="2:30">
      <c r="B355">
        <v>4.4000000000000004</v>
      </c>
      <c r="D355">
        <f t="shared" si="59"/>
        <v>0</v>
      </c>
      <c r="E355">
        <f t="shared" si="66"/>
        <v>0</v>
      </c>
      <c r="F355">
        <f t="shared" si="66"/>
        <v>0</v>
      </c>
      <c r="G355">
        <f t="shared" si="66"/>
        <v>0</v>
      </c>
      <c r="H355">
        <f t="shared" si="66"/>
        <v>0</v>
      </c>
      <c r="I355">
        <f t="shared" si="66"/>
        <v>0</v>
      </c>
      <c r="J355">
        <f t="shared" si="66"/>
        <v>0</v>
      </c>
      <c r="K355">
        <f t="shared" si="66"/>
        <v>0</v>
      </c>
      <c r="L355">
        <f t="shared" si="66"/>
        <v>2.25</v>
      </c>
      <c r="M355">
        <f t="shared" si="63"/>
        <v>102.25</v>
      </c>
      <c r="P355">
        <f t="shared" si="64"/>
        <v>4.4000000000000004</v>
      </c>
      <c r="Q355">
        <v>0.8</v>
      </c>
      <c r="R355">
        <f t="shared" si="65"/>
        <v>99.732750120231984</v>
      </c>
      <c r="S355">
        <f t="shared" si="67"/>
        <v>1.8</v>
      </c>
      <c r="T355">
        <f t="shared" si="61"/>
        <v>101.53275012023198</v>
      </c>
      <c r="U355">
        <f t="shared" ref="U355:AD370" si="69">IF((1/(1+$O$3/2)^((U$2-$P355)*2))&lt;=1,1/(1+$O$3/2)^((U$2-$P355)*2),0)</f>
        <v>0</v>
      </c>
      <c r="V355">
        <f t="shared" si="69"/>
        <v>0</v>
      </c>
      <c r="W355">
        <f t="shared" si="69"/>
        <v>0</v>
      </c>
      <c r="X355">
        <f t="shared" si="69"/>
        <v>0</v>
      </c>
      <c r="Y355">
        <f t="shared" si="69"/>
        <v>0</v>
      </c>
      <c r="Z355">
        <f t="shared" si="69"/>
        <v>0</v>
      </c>
      <c r="AA355">
        <f t="shared" si="69"/>
        <v>0</v>
      </c>
      <c r="AB355">
        <f t="shared" si="69"/>
        <v>0</v>
      </c>
      <c r="AC355">
        <f t="shared" si="69"/>
        <v>0.99512219921759615</v>
      </c>
      <c r="AD355">
        <f t="shared" si="69"/>
        <v>0.9710877767432019</v>
      </c>
    </row>
    <row r="356" spans="2:30">
      <c r="B356">
        <v>4.4124999999999996</v>
      </c>
      <c r="D356">
        <f t="shared" si="59"/>
        <v>0</v>
      </c>
      <c r="E356">
        <f t="shared" si="66"/>
        <v>0</v>
      </c>
      <c r="F356">
        <f t="shared" si="66"/>
        <v>0</v>
      </c>
      <c r="G356">
        <f t="shared" si="66"/>
        <v>0</v>
      </c>
      <c r="H356">
        <f t="shared" si="66"/>
        <v>0</v>
      </c>
      <c r="I356">
        <f t="shared" si="66"/>
        <v>0</v>
      </c>
      <c r="J356">
        <f t="shared" si="66"/>
        <v>0</v>
      </c>
      <c r="K356">
        <f t="shared" si="66"/>
        <v>0</v>
      </c>
      <c r="L356">
        <f t="shared" si="66"/>
        <v>2.25</v>
      </c>
      <c r="M356">
        <f t="shared" si="63"/>
        <v>102.25</v>
      </c>
      <c r="P356">
        <f t="shared" si="64"/>
        <v>4.4124999999999996</v>
      </c>
      <c r="Q356">
        <v>0.82499999999999996</v>
      </c>
      <c r="R356">
        <f t="shared" si="65"/>
        <v>99.738577633666864</v>
      </c>
      <c r="S356">
        <f t="shared" si="67"/>
        <v>1.85625</v>
      </c>
      <c r="T356">
        <f t="shared" si="61"/>
        <v>101.59482763366687</v>
      </c>
      <c r="U356">
        <f t="shared" si="69"/>
        <v>0</v>
      </c>
      <c r="V356">
        <f t="shared" si="69"/>
        <v>0</v>
      </c>
      <c r="W356">
        <f t="shared" si="69"/>
        <v>0</v>
      </c>
      <c r="X356">
        <f t="shared" si="69"/>
        <v>0</v>
      </c>
      <c r="Y356">
        <f t="shared" si="69"/>
        <v>0</v>
      </c>
      <c r="Z356">
        <f t="shared" si="69"/>
        <v>0</v>
      </c>
      <c r="AA356">
        <f t="shared" si="69"/>
        <v>0</v>
      </c>
      <c r="AB356">
        <f t="shared" si="69"/>
        <v>0</v>
      </c>
      <c r="AC356">
        <f t="shared" si="69"/>
        <v>0.99573062075269825</v>
      </c>
      <c r="AD356">
        <f t="shared" si="69"/>
        <v>0.97168150354008109</v>
      </c>
    </row>
    <row r="357" spans="2:30">
      <c r="B357">
        <v>4.4249999999999998</v>
      </c>
      <c r="D357">
        <f t="shared" si="59"/>
        <v>0</v>
      </c>
      <c r="E357">
        <f t="shared" si="66"/>
        <v>0</v>
      </c>
      <c r="F357">
        <f t="shared" si="66"/>
        <v>0</v>
      </c>
      <c r="G357">
        <f t="shared" si="66"/>
        <v>0</v>
      </c>
      <c r="H357">
        <f t="shared" ref="E357:L389" si="70">IF($B357&lt;=H$2,100*$D$1/2,0)</f>
        <v>0</v>
      </c>
      <c r="I357">
        <f t="shared" si="70"/>
        <v>0</v>
      </c>
      <c r="J357">
        <f t="shared" si="70"/>
        <v>0</v>
      </c>
      <c r="K357">
        <f t="shared" si="70"/>
        <v>0</v>
      </c>
      <c r="L357">
        <f t="shared" si="70"/>
        <v>2.25</v>
      </c>
      <c r="M357">
        <f t="shared" si="63"/>
        <v>102.25</v>
      </c>
      <c r="P357">
        <f t="shared" si="64"/>
        <v>4.4249999999999998</v>
      </c>
      <c r="Q357">
        <v>0.85</v>
      </c>
      <c r="R357">
        <f t="shared" si="65"/>
        <v>99.744443101531942</v>
      </c>
      <c r="S357">
        <f t="shared" si="67"/>
        <v>1.9124999999999999</v>
      </c>
      <c r="T357">
        <f t="shared" si="61"/>
        <v>101.65694310153194</v>
      </c>
      <c r="U357">
        <f t="shared" si="69"/>
        <v>0</v>
      </c>
      <c r="V357">
        <f t="shared" si="69"/>
        <v>0</v>
      </c>
      <c r="W357">
        <f t="shared" si="69"/>
        <v>0</v>
      </c>
      <c r="X357">
        <f t="shared" si="69"/>
        <v>0</v>
      </c>
      <c r="Y357">
        <f t="shared" si="69"/>
        <v>0</v>
      </c>
      <c r="Z357">
        <f t="shared" si="69"/>
        <v>0</v>
      </c>
      <c r="AA357">
        <f t="shared" si="69"/>
        <v>0</v>
      </c>
      <c r="AB357">
        <f t="shared" si="69"/>
        <v>0</v>
      </c>
      <c r="AC357">
        <f t="shared" si="69"/>
        <v>0.99633941427906403</v>
      </c>
      <c r="AD357">
        <f t="shared" si="69"/>
        <v>0.97227559334380487</v>
      </c>
    </row>
    <row r="358" spans="2:30">
      <c r="B358">
        <v>4.4375</v>
      </c>
      <c r="D358">
        <f t="shared" ref="D358:D403" si="71">IF($B358&lt;=D$2,100*$D$1/2,0)</f>
        <v>0</v>
      </c>
      <c r="E358">
        <f t="shared" si="70"/>
        <v>0</v>
      </c>
      <c r="F358">
        <f t="shared" si="70"/>
        <v>0</v>
      </c>
      <c r="G358">
        <f t="shared" si="70"/>
        <v>0</v>
      </c>
      <c r="H358">
        <f t="shared" si="70"/>
        <v>0</v>
      </c>
      <c r="I358">
        <f t="shared" si="70"/>
        <v>0</v>
      </c>
      <c r="J358">
        <f t="shared" si="70"/>
        <v>0</v>
      </c>
      <c r="K358">
        <f t="shared" si="70"/>
        <v>0</v>
      </c>
      <c r="L358">
        <f t="shared" si="70"/>
        <v>2.25</v>
      </c>
      <c r="M358">
        <f t="shared" si="63"/>
        <v>102.25</v>
      </c>
      <c r="P358">
        <f t="shared" si="64"/>
        <v>4.4375</v>
      </c>
      <c r="Q358">
        <v>0.875</v>
      </c>
      <c r="R358">
        <f t="shared" si="65"/>
        <v>99.750346547032663</v>
      </c>
      <c r="S358">
        <f t="shared" si="67"/>
        <v>1.96875</v>
      </c>
      <c r="T358">
        <f t="shared" si="61"/>
        <v>101.71909654703266</v>
      </c>
      <c r="U358">
        <f t="shared" si="69"/>
        <v>0</v>
      </c>
      <c r="V358">
        <f t="shared" si="69"/>
        <v>0</v>
      </c>
      <c r="W358">
        <f t="shared" si="69"/>
        <v>0</v>
      </c>
      <c r="X358">
        <f t="shared" si="69"/>
        <v>0</v>
      </c>
      <c r="Y358">
        <f t="shared" si="69"/>
        <v>0</v>
      </c>
      <c r="Z358">
        <f t="shared" si="69"/>
        <v>0</v>
      </c>
      <c r="AA358">
        <f t="shared" si="69"/>
        <v>0</v>
      </c>
      <c r="AB358">
        <f t="shared" si="69"/>
        <v>0</v>
      </c>
      <c r="AC358">
        <f t="shared" si="69"/>
        <v>0.99694858002413034</v>
      </c>
      <c r="AD358">
        <f t="shared" si="69"/>
        <v>0.97287004637631658</v>
      </c>
    </row>
    <row r="359" spans="2:30">
      <c r="B359">
        <v>4.45</v>
      </c>
      <c r="D359">
        <f t="shared" si="71"/>
        <v>0</v>
      </c>
      <c r="E359">
        <f t="shared" si="70"/>
        <v>0</v>
      </c>
      <c r="F359">
        <f t="shared" si="70"/>
        <v>0</v>
      </c>
      <c r="G359">
        <f t="shared" si="70"/>
        <v>0</v>
      </c>
      <c r="H359">
        <f t="shared" si="70"/>
        <v>0</v>
      </c>
      <c r="I359">
        <f t="shared" si="70"/>
        <v>0</v>
      </c>
      <c r="J359">
        <f t="shared" si="70"/>
        <v>0</v>
      </c>
      <c r="K359">
        <f t="shared" si="70"/>
        <v>0</v>
      </c>
      <c r="L359">
        <f t="shared" si="70"/>
        <v>2.25</v>
      </c>
      <c r="M359">
        <f t="shared" si="63"/>
        <v>102.25</v>
      </c>
      <c r="P359">
        <f t="shared" si="64"/>
        <v>4.45</v>
      </c>
      <c r="Q359">
        <v>0.9</v>
      </c>
      <c r="R359">
        <f t="shared" si="65"/>
        <v>99.756287993388696</v>
      </c>
      <c r="S359">
        <f t="shared" si="67"/>
        <v>2.0249999999999999</v>
      </c>
      <c r="T359">
        <f t="shared" si="61"/>
        <v>101.7812879933887</v>
      </c>
      <c r="U359">
        <f t="shared" si="69"/>
        <v>0</v>
      </c>
      <c r="V359">
        <f t="shared" si="69"/>
        <v>0</v>
      </c>
      <c r="W359">
        <f t="shared" si="69"/>
        <v>0</v>
      </c>
      <c r="X359">
        <f t="shared" si="69"/>
        <v>0</v>
      </c>
      <c r="Y359">
        <f t="shared" si="69"/>
        <v>0</v>
      </c>
      <c r="Z359">
        <f t="shared" si="69"/>
        <v>0</v>
      </c>
      <c r="AA359">
        <f t="shared" si="69"/>
        <v>0</v>
      </c>
      <c r="AB359">
        <f t="shared" si="69"/>
        <v>0</v>
      </c>
      <c r="AC359">
        <f t="shared" si="69"/>
        <v>0.99755811821547324</v>
      </c>
      <c r="AD359">
        <f t="shared" si="69"/>
        <v>0.9734648628596958</v>
      </c>
    </row>
    <row r="360" spans="2:30">
      <c r="B360">
        <v>4.4625000000000004</v>
      </c>
      <c r="D360">
        <f t="shared" si="71"/>
        <v>0</v>
      </c>
      <c r="E360">
        <f t="shared" si="70"/>
        <v>0</v>
      </c>
      <c r="F360">
        <f t="shared" si="70"/>
        <v>0</v>
      </c>
      <c r="G360">
        <f t="shared" si="70"/>
        <v>0</v>
      </c>
      <c r="H360">
        <f t="shared" si="70"/>
        <v>0</v>
      </c>
      <c r="I360">
        <f t="shared" si="70"/>
        <v>0</v>
      </c>
      <c r="J360">
        <f t="shared" si="70"/>
        <v>0</v>
      </c>
      <c r="K360">
        <f t="shared" si="70"/>
        <v>0</v>
      </c>
      <c r="L360">
        <f t="shared" si="70"/>
        <v>2.25</v>
      </c>
      <c r="M360">
        <f t="shared" si="63"/>
        <v>102.25</v>
      </c>
      <c r="P360">
        <f t="shared" si="64"/>
        <v>4.4625000000000004</v>
      </c>
      <c r="Q360">
        <v>0.92500000000000004</v>
      </c>
      <c r="R360">
        <f t="shared" si="65"/>
        <v>99.762267463833936</v>
      </c>
      <c r="S360">
        <f t="shared" si="67"/>
        <v>2.0812500000000003</v>
      </c>
      <c r="T360">
        <f t="shared" si="61"/>
        <v>101.84351746383393</v>
      </c>
      <c r="U360">
        <f t="shared" si="69"/>
        <v>0</v>
      </c>
      <c r="V360">
        <f t="shared" si="69"/>
        <v>0</v>
      </c>
      <c r="W360">
        <f t="shared" si="69"/>
        <v>0</v>
      </c>
      <c r="X360">
        <f t="shared" si="69"/>
        <v>0</v>
      </c>
      <c r="Y360">
        <f t="shared" si="69"/>
        <v>0</v>
      </c>
      <c r="Z360">
        <f t="shared" si="69"/>
        <v>0</v>
      </c>
      <c r="AA360">
        <f t="shared" si="69"/>
        <v>0</v>
      </c>
      <c r="AB360">
        <f t="shared" si="69"/>
        <v>0</v>
      </c>
      <c r="AC360">
        <f t="shared" si="69"/>
        <v>0.99816802908080771</v>
      </c>
      <c r="AD360">
        <f t="shared" si="69"/>
        <v>0.97406004301615767</v>
      </c>
    </row>
    <row r="361" spans="2:30">
      <c r="B361">
        <v>4.4749999999999996</v>
      </c>
      <c r="D361">
        <f t="shared" si="71"/>
        <v>0</v>
      </c>
      <c r="E361">
        <f t="shared" si="70"/>
        <v>0</v>
      </c>
      <c r="F361">
        <f t="shared" si="70"/>
        <v>0</v>
      </c>
      <c r="G361">
        <f t="shared" si="70"/>
        <v>0</v>
      </c>
      <c r="H361">
        <f t="shared" si="70"/>
        <v>0</v>
      </c>
      <c r="I361">
        <f t="shared" si="70"/>
        <v>0</v>
      </c>
      <c r="J361">
        <f t="shared" si="70"/>
        <v>0</v>
      </c>
      <c r="K361">
        <f t="shared" si="70"/>
        <v>0</v>
      </c>
      <c r="L361">
        <f t="shared" si="70"/>
        <v>2.25</v>
      </c>
      <c r="M361">
        <f t="shared" si="63"/>
        <v>102.25</v>
      </c>
      <c r="P361">
        <f t="shared" si="64"/>
        <v>4.4749999999999996</v>
      </c>
      <c r="Q361">
        <v>0.95</v>
      </c>
      <c r="R361">
        <f t="shared" si="65"/>
        <v>99.768284981616461</v>
      </c>
      <c r="S361">
        <f t="shared" si="67"/>
        <v>2.1374999999999997</v>
      </c>
      <c r="T361">
        <f t="shared" si="61"/>
        <v>101.90578498161646</v>
      </c>
      <c r="U361">
        <f t="shared" si="69"/>
        <v>0</v>
      </c>
      <c r="V361">
        <f t="shared" si="69"/>
        <v>0</v>
      </c>
      <c r="W361">
        <f t="shared" si="69"/>
        <v>0</v>
      </c>
      <c r="X361">
        <f t="shared" si="69"/>
        <v>0</v>
      </c>
      <c r="Y361">
        <f t="shared" si="69"/>
        <v>0</v>
      </c>
      <c r="Z361">
        <f t="shared" si="69"/>
        <v>0</v>
      </c>
      <c r="AA361">
        <f t="shared" si="69"/>
        <v>0</v>
      </c>
      <c r="AB361">
        <f t="shared" si="69"/>
        <v>0</v>
      </c>
      <c r="AC361">
        <f t="shared" si="69"/>
        <v>0.9987783128479879</v>
      </c>
      <c r="AD361">
        <f t="shared" si="69"/>
        <v>0.97465558706805366</v>
      </c>
    </row>
    <row r="362" spans="2:30">
      <c r="B362">
        <v>4.4874999999999998</v>
      </c>
      <c r="D362">
        <f t="shared" si="71"/>
        <v>0</v>
      </c>
      <c r="E362">
        <f t="shared" si="70"/>
        <v>0</v>
      </c>
      <c r="F362">
        <f t="shared" si="70"/>
        <v>0</v>
      </c>
      <c r="G362">
        <f t="shared" si="70"/>
        <v>0</v>
      </c>
      <c r="H362">
        <f t="shared" si="70"/>
        <v>0</v>
      </c>
      <c r="I362">
        <f t="shared" si="70"/>
        <v>0</v>
      </c>
      <c r="J362">
        <f t="shared" si="70"/>
        <v>0</v>
      </c>
      <c r="K362">
        <f t="shared" si="70"/>
        <v>0</v>
      </c>
      <c r="L362">
        <f t="shared" si="70"/>
        <v>2.25</v>
      </c>
      <c r="M362">
        <f t="shared" si="63"/>
        <v>102.25</v>
      </c>
      <c r="P362">
        <f t="shared" si="64"/>
        <v>4.4874999999999998</v>
      </c>
      <c r="Q362">
        <v>0.97499999999999998</v>
      </c>
      <c r="R362">
        <f t="shared" si="65"/>
        <v>99.774340569998515</v>
      </c>
      <c r="S362">
        <f t="shared" si="67"/>
        <v>2.1937500000000001</v>
      </c>
      <c r="T362">
        <f t="shared" si="61"/>
        <v>101.96809056999851</v>
      </c>
      <c r="U362">
        <f t="shared" si="69"/>
        <v>0</v>
      </c>
      <c r="V362">
        <f t="shared" si="69"/>
        <v>0</v>
      </c>
      <c r="W362">
        <f t="shared" si="69"/>
        <v>0</v>
      </c>
      <c r="X362">
        <f t="shared" si="69"/>
        <v>0</v>
      </c>
      <c r="Y362">
        <f t="shared" si="69"/>
        <v>0</v>
      </c>
      <c r="Z362">
        <f t="shared" si="69"/>
        <v>0</v>
      </c>
      <c r="AA362">
        <f t="shared" si="69"/>
        <v>0</v>
      </c>
      <c r="AB362">
        <f t="shared" si="69"/>
        <v>0</v>
      </c>
      <c r="AC362">
        <f t="shared" si="69"/>
        <v>0.99938896974500779</v>
      </c>
      <c r="AD362">
        <f t="shared" si="69"/>
        <v>0.97525149523787025</v>
      </c>
    </row>
    <row r="363" spans="2:30">
      <c r="B363">
        <v>4.5</v>
      </c>
      <c r="D363">
        <f t="shared" si="71"/>
        <v>0</v>
      </c>
      <c r="E363">
        <f t="shared" si="70"/>
        <v>0</v>
      </c>
      <c r="F363">
        <f t="shared" si="70"/>
        <v>0</v>
      </c>
      <c r="G363">
        <f t="shared" si="70"/>
        <v>0</v>
      </c>
      <c r="H363">
        <f t="shared" si="70"/>
        <v>0</v>
      </c>
      <c r="I363">
        <f t="shared" si="70"/>
        <v>0</v>
      </c>
      <c r="J363">
        <f t="shared" si="70"/>
        <v>0</v>
      </c>
      <c r="K363">
        <f t="shared" si="70"/>
        <v>0</v>
      </c>
      <c r="L363">
        <f t="shared" si="70"/>
        <v>2.25</v>
      </c>
      <c r="M363">
        <f t="shared" si="63"/>
        <v>102.25</v>
      </c>
      <c r="P363">
        <f t="shared" si="64"/>
        <v>4.5</v>
      </c>
      <c r="Q363">
        <v>1</v>
      </c>
      <c r="R363">
        <f>T363-S363</f>
        <v>99.78043425225664</v>
      </c>
      <c r="S363">
        <f>(100*$D$1/2)*Q363</f>
        <v>2.25</v>
      </c>
      <c r="T363">
        <f t="shared" si="61"/>
        <v>102.03043425225664</v>
      </c>
      <c r="U363">
        <f t="shared" si="69"/>
        <v>0</v>
      </c>
      <c r="V363">
        <f t="shared" si="69"/>
        <v>0</v>
      </c>
      <c r="W363">
        <f t="shared" si="69"/>
        <v>0</v>
      </c>
      <c r="X363">
        <f t="shared" si="69"/>
        <v>0</v>
      </c>
      <c r="Y363">
        <f t="shared" si="69"/>
        <v>0</v>
      </c>
      <c r="Z363">
        <f t="shared" si="69"/>
        <v>0</v>
      </c>
      <c r="AA363">
        <f t="shared" si="69"/>
        <v>0</v>
      </c>
      <c r="AB363">
        <f t="shared" si="69"/>
        <v>0</v>
      </c>
      <c r="AC363">
        <f t="shared" si="69"/>
        <v>1</v>
      </c>
      <c r="AD363">
        <f t="shared" si="69"/>
        <v>0.97584776774823123</v>
      </c>
    </row>
    <row r="364" spans="2:30">
      <c r="B364">
        <v>4.5125000000000002</v>
      </c>
      <c r="D364">
        <f t="shared" si="71"/>
        <v>0</v>
      </c>
      <c r="E364">
        <f t="shared" si="70"/>
        <v>0</v>
      </c>
      <c r="F364">
        <f t="shared" si="70"/>
        <v>0</v>
      </c>
      <c r="G364">
        <f t="shared" si="70"/>
        <v>0</v>
      </c>
      <c r="H364">
        <f t="shared" si="70"/>
        <v>0</v>
      </c>
      <c r="I364">
        <f t="shared" si="70"/>
        <v>0</v>
      </c>
      <c r="J364">
        <f t="shared" si="70"/>
        <v>0</v>
      </c>
      <c r="K364">
        <f t="shared" si="70"/>
        <v>0</v>
      </c>
      <c r="L364">
        <f t="shared" si="70"/>
        <v>0</v>
      </c>
      <c r="M364">
        <f t="shared" si="63"/>
        <v>102.25</v>
      </c>
      <c r="P364">
        <f t="shared" si="64"/>
        <v>4.5125000000000002</v>
      </c>
      <c r="Q364">
        <v>2.5000000000000001E-2</v>
      </c>
      <c r="R364">
        <f t="shared" si="65"/>
        <v>99.785190393038803</v>
      </c>
      <c r="S364">
        <f t="shared" si="67"/>
        <v>5.6250000000000001E-2</v>
      </c>
      <c r="T364">
        <f t="shared" si="61"/>
        <v>99.841440393038809</v>
      </c>
      <c r="U364">
        <f t="shared" si="69"/>
        <v>0</v>
      </c>
      <c r="V364">
        <f t="shared" si="69"/>
        <v>0</v>
      </c>
      <c r="W364">
        <f t="shared" si="69"/>
        <v>0</v>
      </c>
      <c r="X364">
        <f t="shared" si="69"/>
        <v>0</v>
      </c>
      <c r="Y364">
        <f t="shared" si="69"/>
        <v>0</v>
      </c>
      <c r="Z364">
        <f t="shared" si="69"/>
        <v>0</v>
      </c>
      <c r="AA364">
        <f t="shared" si="69"/>
        <v>0</v>
      </c>
      <c r="AB364">
        <f t="shared" si="69"/>
        <v>0</v>
      </c>
      <c r="AC364">
        <f t="shared" si="69"/>
        <v>0</v>
      </c>
      <c r="AD364">
        <f t="shared" si="69"/>
        <v>0.97644440482189543</v>
      </c>
    </row>
    <row r="365" spans="2:30">
      <c r="B365">
        <v>4.5250000000000004</v>
      </c>
      <c r="D365">
        <f t="shared" si="71"/>
        <v>0</v>
      </c>
      <c r="E365">
        <f t="shared" si="70"/>
        <v>0</v>
      </c>
      <c r="F365">
        <f t="shared" si="70"/>
        <v>0</v>
      </c>
      <c r="G365">
        <f t="shared" si="70"/>
        <v>0</v>
      </c>
      <c r="H365">
        <f t="shared" si="70"/>
        <v>0</v>
      </c>
      <c r="I365">
        <f t="shared" si="70"/>
        <v>0</v>
      </c>
      <c r="J365">
        <f t="shared" si="70"/>
        <v>0</v>
      </c>
      <c r="K365">
        <f t="shared" si="70"/>
        <v>0</v>
      </c>
      <c r="L365">
        <f t="shared" si="70"/>
        <v>0</v>
      </c>
      <c r="M365">
        <f t="shared" si="63"/>
        <v>102.25</v>
      </c>
      <c r="P365">
        <f t="shared" si="64"/>
        <v>4.5250000000000004</v>
      </c>
      <c r="Q365">
        <v>0.05</v>
      </c>
      <c r="R365">
        <f t="shared" si="65"/>
        <v>99.789983833209774</v>
      </c>
      <c r="S365">
        <f t="shared" si="67"/>
        <v>0.1125</v>
      </c>
      <c r="T365">
        <f t="shared" si="61"/>
        <v>99.902483833209772</v>
      </c>
      <c r="U365">
        <f t="shared" si="69"/>
        <v>0</v>
      </c>
      <c r="V365">
        <f t="shared" si="69"/>
        <v>0</v>
      </c>
      <c r="W365">
        <f t="shared" si="69"/>
        <v>0</v>
      </c>
      <c r="X365">
        <f t="shared" si="69"/>
        <v>0</v>
      </c>
      <c r="Y365">
        <f t="shared" si="69"/>
        <v>0</v>
      </c>
      <c r="Z365">
        <f t="shared" si="69"/>
        <v>0</v>
      </c>
      <c r="AA365">
        <f t="shared" si="69"/>
        <v>0</v>
      </c>
      <c r="AB365">
        <f t="shared" si="69"/>
        <v>0</v>
      </c>
      <c r="AC365">
        <f t="shared" si="69"/>
        <v>0</v>
      </c>
      <c r="AD365">
        <f t="shared" si="69"/>
        <v>0.9770414066817581</v>
      </c>
    </row>
    <row r="366" spans="2:30">
      <c r="B366">
        <v>4.5374999999999996</v>
      </c>
      <c r="D366">
        <f t="shared" si="71"/>
        <v>0</v>
      </c>
      <c r="E366">
        <f t="shared" si="70"/>
        <v>0</v>
      </c>
      <c r="F366">
        <f t="shared" si="70"/>
        <v>0</v>
      </c>
      <c r="G366">
        <f t="shared" si="70"/>
        <v>0</v>
      </c>
      <c r="H366">
        <f t="shared" si="70"/>
        <v>0</v>
      </c>
      <c r="I366">
        <f t="shared" si="70"/>
        <v>0</v>
      </c>
      <c r="J366">
        <f t="shared" si="70"/>
        <v>0</v>
      </c>
      <c r="K366">
        <f t="shared" si="70"/>
        <v>0</v>
      </c>
      <c r="L366">
        <f t="shared" si="70"/>
        <v>0</v>
      </c>
      <c r="M366">
        <f t="shared" si="63"/>
        <v>102.25</v>
      </c>
      <c r="P366">
        <f t="shared" si="64"/>
        <v>4.5374999999999996</v>
      </c>
      <c r="Q366">
        <v>7.4999999999999997E-2</v>
      </c>
      <c r="R366">
        <f t="shared" si="65"/>
        <v>99.794814595574522</v>
      </c>
      <c r="S366">
        <f t="shared" si="67"/>
        <v>0.16874999999999998</v>
      </c>
      <c r="T366">
        <f t="shared" si="61"/>
        <v>99.963564595574525</v>
      </c>
      <c r="U366">
        <f t="shared" si="69"/>
        <v>0</v>
      </c>
      <c r="V366">
        <f t="shared" si="69"/>
        <v>0</v>
      </c>
      <c r="W366">
        <f t="shared" si="69"/>
        <v>0</v>
      </c>
      <c r="X366">
        <f t="shared" si="69"/>
        <v>0</v>
      </c>
      <c r="Y366">
        <f t="shared" si="69"/>
        <v>0</v>
      </c>
      <c r="Z366">
        <f t="shared" si="69"/>
        <v>0</v>
      </c>
      <c r="AA366">
        <f t="shared" si="69"/>
        <v>0</v>
      </c>
      <c r="AB366">
        <f t="shared" si="69"/>
        <v>0</v>
      </c>
      <c r="AC366">
        <f t="shared" si="69"/>
        <v>0</v>
      </c>
      <c r="AD366">
        <f t="shared" si="69"/>
        <v>0.97763877355085116</v>
      </c>
    </row>
    <row r="367" spans="2:30">
      <c r="B367">
        <v>4.55</v>
      </c>
      <c r="D367">
        <f t="shared" si="71"/>
        <v>0</v>
      </c>
      <c r="E367">
        <f t="shared" si="70"/>
        <v>0</v>
      </c>
      <c r="F367">
        <f t="shared" si="70"/>
        <v>0</v>
      </c>
      <c r="G367">
        <f t="shared" si="70"/>
        <v>0</v>
      </c>
      <c r="H367">
        <f t="shared" si="70"/>
        <v>0</v>
      </c>
      <c r="I367">
        <f t="shared" si="70"/>
        <v>0</v>
      </c>
      <c r="J367">
        <f t="shared" si="70"/>
        <v>0</v>
      </c>
      <c r="K367">
        <f t="shared" si="70"/>
        <v>0</v>
      </c>
      <c r="L367">
        <f t="shared" si="70"/>
        <v>0</v>
      </c>
      <c r="M367">
        <f t="shared" si="63"/>
        <v>102.25</v>
      </c>
      <c r="P367">
        <f t="shared" si="64"/>
        <v>4.55</v>
      </c>
      <c r="Q367">
        <v>0.1</v>
      </c>
      <c r="R367">
        <f t="shared" si="65"/>
        <v>99.79968270295204</v>
      </c>
      <c r="S367">
        <f t="shared" si="67"/>
        <v>0.22500000000000001</v>
      </c>
      <c r="T367">
        <f t="shared" si="61"/>
        <v>100.02468270295203</v>
      </c>
      <c r="U367">
        <f t="shared" si="69"/>
        <v>0</v>
      </c>
      <c r="V367">
        <f t="shared" si="69"/>
        <v>0</v>
      </c>
      <c r="W367">
        <f t="shared" si="69"/>
        <v>0</v>
      </c>
      <c r="X367">
        <f t="shared" si="69"/>
        <v>0</v>
      </c>
      <c r="Y367">
        <f t="shared" si="69"/>
        <v>0</v>
      </c>
      <c r="Z367">
        <f t="shared" si="69"/>
        <v>0</v>
      </c>
      <c r="AA367">
        <f t="shared" si="69"/>
        <v>0</v>
      </c>
      <c r="AB367">
        <f t="shared" si="69"/>
        <v>0</v>
      </c>
      <c r="AC367">
        <f t="shared" si="69"/>
        <v>0</v>
      </c>
      <c r="AD367">
        <f t="shared" si="69"/>
        <v>0.97823650565234266</v>
      </c>
    </row>
    <row r="368" spans="2:30">
      <c r="B368">
        <v>4.5625</v>
      </c>
      <c r="D368">
        <f t="shared" si="71"/>
        <v>0</v>
      </c>
      <c r="E368">
        <f t="shared" si="70"/>
        <v>0</v>
      </c>
      <c r="F368">
        <f t="shared" si="70"/>
        <v>0</v>
      </c>
      <c r="G368">
        <f t="shared" si="70"/>
        <v>0</v>
      </c>
      <c r="H368">
        <f t="shared" si="70"/>
        <v>0</v>
      </c>
      <c r="I368">
        <f t="shared" si="70"/>
        <v>0</v>
      </c>
      <c r="J368">
        <f t="shared" si="70"/>
        <v>0</v>
      </c>
      <c r="K368">
        <f t="shared" si="70"/>
        <v>0</v>
      </c>
      <c r="L368">
        <f t="shared" si="70"/>
        <v>0</v>
      </c>
      <c r="M368">
        <f t="shared" si="63"/>
        <v>102.25</v>
      </c>
      <c r="P368">
        <f t="shared" si="64"/>
        <v>4.5625</v>
      </c>
      <c r="Q368">
        <v>0.125</v>
      </c>
      <c r="R368">
        <f t="shared" si="65"/>
        <v>99.804588178175166</v>
      </c>
      <c r="S368">
        <f t="shared" si="67"/>
        <v>0.28125</v>
      </c>
      <c r="T368">
        <f t="shared" si="61"/>
        <v>100.08583817817517</v>
      </c>
      <c r="U368">
        <f t="shared" si="69"/>
        <v>0</v>
      </c>
      <c r="V368">
        <f t="shared" si="69"/>
        <v>0</v>
      </c>
      <c r="W368">
        <f t="shared" si="69"/>
        <v>0</v>
      </c>
      <c r="X368">
        <f t="shared" si="69"/>
        <v>0</v>
      </c>
      <c r="Y368">
        <f t="shared" si="69"/>
        <v>0</v>
      </c>
      <c r="Z368">
        <f t="shared" si="69"/>
        <v>0</v>
      </c>
      <c r="AA368">
        <f t="shared" si="69"/>
        <v>0</v>
      </c>
      <c r="AB368">
        <f t="shared" si="69"/>
        <v>0</v>
      </c>
      <c r="AC368">
        <f t="shared" si="69"/>
        <v>0</v>
      </c>
      <c r="AD368">
        <f t="shared" si="69"/>
        <v>0.97883460320953708</v>
      </c>
    </row>
    <row r="369" spans="2:30">
      <c r="B369">
        <v>4.5750000000000002</v>
      </c>
      <c r="D369">
        <f t="shared" si="71"/>
        <v>0</v>
      </c>
      <c r="E369">
        <f t="shared" si="70"/>
        <v>0</v>
      </c>
      <c r="F369">
        <f t="shared" si="70"/>
        <v>0</v>
      </c>
      <c r="G369">
        <f t="shared" si="70"/>
        <v>0</v>
      </c>
      <c r="H369">
        <f t="shared" si="70"/>
        <v>0</v>
      </c>
      <c r="I369">
        <f t="shared" si="70"/>
        <v>0</v>
      </c>
      <c r="J369">
        <f t="shared" si="70"/>
        <v>0</v>
      </c>
      <c r="K369">
        <f t="shared" si="70"/>
        <v>0</v>
      </c>
      <c r="L369">
        <f t="shared" si="70"/>
        <v>0</v>
      </c>
      <c r="M369">
        <f t="shared" si="63"/>
        <v>102.25</v>
      </c>
      <c r="P369">
        <f t="shared" si="64"/>
        <v>4.5750000000000002</v>
      </c>
      <c r="Q369">
        <v>0.15</v>
      </c>
      <c r="R369">
        <f t="shared" si="65"/>
        <v>99.809531044090775</v>
      </c>
      <c r="S369">
        <f t="shared" si="67"/>
        <v>0.33749999999999997</v>
      </c>
      <c r="T369">
        <f t="shared" si="61"/>
        <v>100.14703104409078</v>
      </c>
      <c r="U369">
        <f t="shared" si="69"/>
        <v>0</v>
      </c>
      <c r="V369">
        <f t="shared" si="69"/>
        <v>0</v>
      </c>
      <c r="W369">
        <f t="shared" si="69"/>
        <v>0</v>
      </c>
      <c r="X369">
        <f t="shared" si="69"/>
        <v>0</v>
      </c>
      <c r="Y369">
        <f t="shared" si="69"/>
        <v>0</v>
      </c>
      <c r="Z369">
        <f t="shared" si="69"/>
        <v>0</v>
      </c>
      <c r="AA369">
        <f t="shared" si="69"/>
        <v>0</v>
      </c>
      <c r="AB369">
        <f t="shared" si="69"/>
        <v>0</v>
      </c>
      <c r="AC369">
        <f t="shared" si="69"/>
        <v>0</v>
      </c>
      <c r="AD369">
        <f t="shared" si="69"/>
        <v>0.97943306644587558</v>
      </c>
    </row>
    <row r="370" spans="2:30">
      <c r="B370">
        <v>4.5875000000000004</v>
      </c>
      <c r="D370">
        <f t="shared" si="71"/>
        <v>0</v>
      </c>
      <c r="E370">
        <f t="shared" si="70"/>
        <v>0</v>
      </c>
      <c r="F370">
        <f t="shared" si="70"/>
        <v>0</v>
      </c>
      <c r="G370">
        <f t="shared" si="70"/>
        <v>0</v>
      </c>
      <c r="H370">
        <f t="shared" si="70"/>
        <v>0</v>
      </c>
      <c r="I370">
        <f t="shared" si="70"/>
        <v>0</v>
      </c>
      <c r="J370">
        <f t="shared" si="70"/>
        <v>0</v>
      </c>
      <c r="K370">
        <f t="shared" si="70"/>
        <v>0</v>
      </c>
      <c r="L370">
        <f t="shared" si="70"/>
        <v>0</v>
      </c>
      <c r="M370">
        <f t="shared" si="63"/>
        <v>102.25</v>
      </c>
      <c r="P370">
        <f t="shared" si="64"/>
        <v>4.5875000000000004</v>
      </c>
      <c r="Q370">
        <v>0.17499999999999999</v>
      </c>
      <c r="R370">
        <f t="shared" si="65"/>
        <v>99.814511323559643</v>
      </c>
      <c r="S370">
        <f t="shared" si="67"/>
        <v>0.39374999999999999</v>
      </c>
      <c r="T370">
        <f t="shared" si="61"/>
        <v>100.20826132355964</v>
      </c>
      <c r="U370">
        <f t="shared" si="69"/>
        <v>0</v>
      </c>
      <c r="V370">
        <f t="shared" si="69"/>
        <v>0</v>
      </c>
      <c r="W370">
        <f t="shared" si="69"/>
        <v>0</v>
      </c>
      <c r="X370">
        <f t="shared" si="69"/>
        <v>0</v>
      </c>
      <c r="Y370">
        <f t="shared" si="69"/>
        <v>0</v>
      </c>
      <c r="Z370">
        <f t="shared" si="69"/>
        <v>0</v>
      </c>
      <c r="AA370">
        <f t="shared" si="69"/>
        <v>0</v>
      </c>
      <c r="AB370">
        <f t="shared" si="69"/>
        <v>0</v>
      </c>
      <c r="AC370">
        <f t="shared" si="69"/>
        <v>0</v>
      </c>
      <c r="AD370">
        <f t="shared" si="69"/>
        <v>0.98003189558493531</v>
      </c>
    </row>
    <row r="371" spans="2:30">
      <c r="B371">
        <v>4.5999999999999996</v>
      </c>
      <c r="D371">
        <f t="shared" si="71"/>
        <v>0</v>
      </c>
      <c r="E371">
        <f t="shared" si="70"/>
        <v>0</v>
      </c>
      <c r="F371">
        <f t="shared" si="70"/>
        <v>0</v>
      </c>
      <c r="G371">
        <f t="shared" si="70"/>
        <v>0</v>
      </c>
      <c r="H371">
        <f t="shared" si="70"/>
        <v>0</v>
      </c>
      <c r="I371">
        <f t="shared" si="70"/>
        <v>0</v>
      </c>
      <c r="J371">
        <f t="shared" si="70"/>
        <v>0</v>
      </c>
      <c r="K371">
        <f t="shared" si="70"/>
        <v>0</v>
      </c>
      <c r="L371">
        <f t="shared" si="70"/>
        <v>0</v>
      </c>
      <c r="M371">
        <f t="shared" si="63"/>
        <v>102.25</v>
      </c>
      <c r="P371">
        <f t="shared" si="64"/>
        <v>4.5999999999999996</v>
      </c>
      <c r="Q371">
        <v>0.2</v>
      </c>
      <c r="R371">
        <f t="shared" si="65"/>
        <v>99.819529039456555</v>
      </c>
      <c r="S371">
        <f t="shared" si="67"/>
        <v>0.45</v>
      </c>
      <c r="T371">
        <f t="shared" si="61"/>
        <v>100.26952903945656</v>
      </c>
      <c r="U371">
        <f t="shared" ref="U371:AD386" si="72">IF((1/(1+$O$3/2)^((U$2-$P371)*2))&lt;=1,1/(1+$O$3/2)^((U$2-$P371)*2),0)</f>
        <v>0</v>
      </c>
      <c r="V371">
        <f t="shared" si="72"/>
        <v>0</v>
      </c>
      <c r="W371">
        <f t="shared" si="72"/>
        <v>0</v>
      </c>
      <c r="X371">
        <f t="shared" si="72"/>
        <v>0</v>
      </c>
      <c r="Y371">
        <f t="shared" si="72"/>
        <v>0</v>
      </c>
      <c r="Z371">
        <f t="shared" si="72"/>
        <v>0</v>
      </c>
      <c r="AA371">
        <f t="shared" si="72"/>
        <v>0</v>
      </c>
      <c r="AB371">
        <f t="shared" si="72"/>
        <v>0</v>
      </c>
      <c r="AC371">
        <f t="shared" si="72"/>
        <v>0</v>
      </c>
      <c r="AD371">
        <f t="shared" si="72"/>
        <v>0.98063109085043088</v>
      </c>
    </row>
    <row r="372" spans="2:30">
      <c r="B372">
        <v>4.6124999999999998</v>
      </c>
      <c r="D372">
        <f t="shared" si="71"/>
        <v>0</v>
      </c>
      <c r="E372">
        <f t="shared" si="70"/>
        <v>0</v>
      </c>
      <c r="F372">
        <f t="shared" si="70"/>
        <v>0</v>
      </c>
      <c r="G372">
        <f t="shared" si="70"/>
        <v>0</v>
      </c>
      <c r="H372">
        <f t="shared" si="70"/>
        <v>0</v>
      </c>
      <c r="I372">
        <f t="shared" si="70"/>
        <v>0</v>
      </c>
      <c r="J372">
        <f t="shared" si="70"/>
        <v>0</v>
      </c>
      <c r="K372">
        <f t="shared" si="70"/>
        <v>0</v>
      </c>
      <c r="L372">
        <f t="shared" si="70"/>
        <v>0</v>
      </c>
      <c r="M372">
        <f t="shared" si="63"/>
        <v>102.25</v>
      </c>
      <c r="P372">
        <f t="shared" si="64"/>
        <v>4.6124999999999998</v>
      </c>
      <c r="Q372">
        <v>0.22500000000000001</v>
      </c>
      <c r="R372">
        <f t="shared" si="65"/>
        <v>99.824584214670352</v>
      </c>
      <c r="S372">
        <f t="shared" si="67"/>
        <v>0.50624999999999998</v>
      </c>
      <c r="T372">
        <f t="shared" si="61"/>
        <v>100.33083421467035</v>
      </c>
      <c r="U372">
        <f t="shared" si="72"/>
        <v>0</v>
      </c>
      <c r="V372">
        <f t="shared" si="72"/>
        <v>0</v>
      </c>
      <c r="W372">
        <f t="shared" si="72"/>
        <v>0</v>
      </c>
      <c r="X372">
        <f t="shared" si="72"/>
        <v>0</v>
      </c>
      <c r="Y372">
        <f t="shared" si="72"/>
        <v>0</v>
      </c>
      <c r="Z372">
        <f t="shared" si="72"/>
        <v>0</v>
      </c>
      <c r="AA372">
        <f t="shared" si="72"/>
        <v>0</v>
      </c>
      <c r="AB372">
        <f t="shared" si="72"/>
        <v>0</v>
      </c>
      <c r="AC372">
        <f t="shared" si="72"/>
        <v>0</v>
      </c>
      <c r="AD372">
        <f t="shared" si="72"/>
        <v>0.98123065246621366</v>
      </c>
    </row>
    <row r="373" spans="2:30">
      <c r="B373">
        <v>4.625</v>
      </c>
      <c r="D373">
        <f t="shared" si="71"/>
        <v>0</v>
      </c>
      <c r="E373">
        <f t="shared" si="70"/>
        <v>0</v>
      </c>
      <c r="F373">
        <f t="shared" si="70"/>
        <v>0</v>
      </c>
      <c r="G373">
        <f t="shared" si="70"/>
        <v>0</v>
      </c>
      <c r="H373">
        <f t="shared" si="70"/>
        <v>0</v>
      </c>
      <c r="I373">
        <f t="shared" si="70"/>
        <v>0</v>
      </c>
      <c r="J373">
        <f t="shared" si="70"/>
        <v>0</v>
      </c>
      <c r="K373">
        <f t="shared" si="70"/>
        <v>0</v>
      </c>
      <c r="L373">
        <f t="shared" si="70"/>
        <v>0</v>
      </c>
      <c r="M373">
        <f t="shared" si="63"/>
        <v>102.25</v>
      </c>
      <c r="P373">
        <f t="shared" si="64"/>
        <v>4.625</v>
      </c>
      <c r="Q373">
        <v>0.25</v>
      </c>
      <c r="R373">
        <f t="shared" si="65"/>
        <v>99.829676872103732</v>
      </c>
      <c r="S373">
        <f t="shared" si="67"/>
        <v>0.5625</v>
      </c>
      <c r="T373">
        <f t="shared" si="61"/>
        <v>100.39217687210373</v>
      </c>
      <c r="U373">
        <f t="shared" si="72"/>
        <v>0</v>
      </c>
      <c r="V373">
        <f t="shared" si="72"/>
        <v>0</v>
      </c>
      <c r="W373">
        <f t="shared" si="72"/>
        <v>0</v>
      </c>
      <c r="X373">
        <f t="shared" si="72"/>
        <v>0</v>
      </c>
      <c r="Y373">
        <f t="shared" si="72"/>
        <v>0</v>
      </c>
      <c r="Z373">
        <f t="shared" si="72"/>
        <v>0</v>
      </c>
      <c r="AA373">
        <f t="shared" si="72"/>
        <v>0</v>
      </c>
      <c r="AB373">
        <f t="shared" si="72"/>
        <v>0</v>
      </c>
      <c r="AC373">
        <f t="shared" si="72"/>
        <v>0</v>
      </c>
      <c r="AD373">
        <f t="shared" si="72"/>
        <v>0.98183058065627116</v>
      </c>
    </row>
    <row r="374" spans="2:30">
      <c r="B374">
        <v>4.6375000000000002</v>
      </c>
      <c r="D374">
        <f t="shared" si="71"/>
        <v>0</v>
      </c>
      <c r="E374">
        <f t="shared" si="70"/>
        <v>0</v>
      </c>
      <c r="F374">
        <f t="shared" si="70"/>
        <v>0</v>
      </c>
      <c r="G374">
        <f t="shared" si="70"/>
        <v>0</v>
      </c>
      <c r="H374">
        <f t="shared" si="70"/>
        <v>0</v>
      </c>
      <c r="I374">
        <f t="shared" si="70"/>
        <v>0</v>
      </c>
      <c r="J374">
        <f t="shared" si="70"/>
        <v>0</v>
      </c>
      <c r="K374">
        <f t="shared" si="70"/>
        <v>0</v>
      </c>
      <c r="L374">
        <f t="shared" si="70"/>
        <v>0</v>
      </c>
      <c r="M374">
        <f t="shared" si="63"/>
        <v>102.25</v>
      </c>
      <c r="P374">
        <f t="shared" si="64"/>
        <v>4.6375000000000002</v>
      </c>
      <c r="Q374">
        <v>0.27500000000000002</v>
      </c>
      <c r="R374">
        <f t="shared" si="65"/>
        <v>99.834807034673503</v>
      </c>
      <c r="S374">
        <f t="shared" si="67"/>
        <v>0.61875000000000002</v>
      </c>
      <c r="T374">
        <f t="shared" si="61"/>
        <v>100.45355703467351</v>
      </c>
      <c r="U374">
        <f t="shared" si="72"/>
        <v>0</v>
      </c>
      <c r="V374">
        <f t="shared" si="72"/>
        <v>0</v>
      </c>
      <c r="W374">
        <f t="shared" si="72"/>
        <v>0</v>
      </c>
      <c r="X374">
        <f t="shared" si="72"/>
        <v>0</v>
      </c>
      <c r="Y374">
        <f t="shared" si="72"/>
        <v>0</v>
      </c>
      <c r="Z374">
        <f t="shared" si="72"/>
        <v>0</v>
      </c>
      <c r="AA374">
        <f t="shared" si="72"/>
        <v>0</v>
      </c>
      <c r="AB374">
        <f t="shared" si="72"/>
        <v>0</v>
      </c>
      <c r="AC374">
        <f t="shared" si="72"/>
        <v>0</v>
      </c>
      <c r="AD374">
        <f t="shared" si="72"/>
        <v>0.98243087564472875</v>
      </c>
    </row>
    <row r="375" spans="2:30">
      <c r="B375">
        <v>4.6500000000000004</v>
      </c>
      <c r="D375">
        <f t="shared" si="71"/>
        <v>0</v>
      </c>
      <c r="E375">
        <f t="shared" si="70"/>
        <v>0</v>
      </c>
      <c r="F375">
        <f t="shared" si="70"/>
        <v>0</v>
      </c>
      <c r="G375">
        <f t="shared" si="70"/>
        <v>0</v>
      </c>
      <c r="H375">
        <f t="shared" si="70"/>
        <v>0</v>
      </c>
      <c r="I375">
        <f t="shared" si="70"/>
        <v>0</v>
      </c>
      <c r="J375">
        <f t="shared" si="70"/>
        <v>0</v>
      </c>
      <c r="K375">
        <f t="shared" si="70"/>
        <v>0</v>
      </c>
      <c r="L375">
        <f t="shared" si="70"/>
        <v>0</v>
      </c>
      <c r="M375">
        <f t="shared" si="63"/>
        <v>102.25</v>
      </c>
      <c r="P375">
        <f t="shared" si="64"/>
        <v>4.6500000000000004</v>
      </c>
      <c r="Q375">
        <v>0.3</v>
      </c>
      <c r="R375">
        <f t="shared" si="65"/>
        <v>99.839974725310469</v>
      </c>
      <c r="S375">
        <f t="shared" si="67"/>
        <v>0.67499999999999993</v>
      </c>
      <c r="T375">
        <f t="shared" si="61"/>
        <v>100.51497472531047</v>
      </c>
      <c r="U375">
        <f t="shared" si="72"/>
        <v>0</v>
      </c>
      <c r="V375">
        <f t="shared" si="72"/>
        <v>0</v>
      </c>
      <c r="W375">
        <f t="shared" si="72"/>
        <v>0</v>
      </c>
      <c r="X375">
        <f t="shared" si="72"/>
        <v>0</v>
      </c>
      <c r="Y375">
        <f t="shared" si="72"/>
        <v>0</v>
      </c>
      <c r="Z375">
        <f t="shared" si="72"/>
        <v>0</v>
      </c>
      <c r="AA375">
        <f t="shared" si="72"/>
        <v>0</v>
      </c>
      <c r="AB375">
        <f t="shared" si="72"/>
        <v>0</v>
      </c>
      <c r="AC375">
        <f t="shared" si="72"/>
        <v>0</v>
      </c>
      <c r="AD375">
        <f t="shared" si="72"/>
        <v>0.98303153765584805</v>
      </c>
    </row>
    <row r="376" spans="2:30">
      <c r="B376">
        <v>4.6624999999999996</v>
      </c>
      <c r="D376">
        <f t="shared" si="71"/>
        <v>0</v>
      </c>
      <c r="E376">
        <f t="shared" si="70"/>
        <v>0</v>
      </c>
      <c r="F376">
        <f t="shared" si="70"/>
        <v>0</v>
      </c>
      <c r="G376">
        <f t="shared" si="70"/>
        <v>0</v>
      </c>
      <c r="H376">
        <f t="shared" si="70"/>
        <v>0</v>
      </c>
      <c r="I376">
        <f t="shared" si="70"/>
        <v>0</v>
      </c>
      <c r="J376">
        <f t="shared" si="70"/>
        <v>0</v>
      </c>
      <c r="K376">
        <f t="shared" si="70"/>
        <v>0</v>
      </c>
      <c r="L376">
        <f t="shared" si="70"/>
        <v>0</v>
      </c>
      <c r="M376">
        <f t="shared" si="63"/>
        <v>102.25</v>
      </c>
      <c r="P376">
        <f t="shared" si="64"/>
        <v>4.6624999999999996</v>
      </c>
      <c r="Q376">
        <v>0.32500000000000001</v>
      </c>
      <c r="R376">
        <f t="shared" si="65"/>
        <v>99.845179966959378</v>
      </c>
      <c r="S376">
        <f t="shared" si="67"/>
        <v>0.73125000000000007</v>
      </c>
      <c r="T376">
        <f t="shared" si="61"/>
        <v>100.57642996695938</v>
      </c>
      <c r="U376">
        <f t="shared" si="72"/>
        <v>0</v>
      </c>
      <c r="V376">
        <f t="shared" si="72"/>
        <v>0</v>
      </c>
      <c r="W376">
        <f t="shared" si="72"/>
        <v>0</v>
      </c>
      <c r="X376">
        <f t="shared" si="72"/>
        <v>0</v>
      </c>
      <c r="Y376">
        <f t="shared" si="72"/>
        <v>0</v>
      </c>
      <c r="Z376">
        <f t="shared" si="72"/>
        <v>0</v>
      </c>
      <c r="AA376">
        <f t="shared" si="72"/>
        <v>0</v>
      </c>
      <c r="AB376">
        <f t="shared" si="72"/>
        <v>0</v>
      </c>
      <c r="AC376">
        <f t="shared" si="72"/>
        <v>0</v>
      </c>
      <c r="AD376">
        <f t="shared" si="72"/>
        <v>0.98363256691402823</v>
      </c>
    </row>
    <row r="377" spans="2:30">
      <c r="B377">
        <v>4.6749999999999998</v>
      </c>
      <c r="D377">
        <f t="shared" si="71"/>
        <v>0</v>
      </c>
      <c r="E377">
        <f t="shared" si="70"/>
        <v>0</v>
      </c>
      <c r="F377">
        <f t="shared" si="70"/>
        <v>0</v>
      </c>
      <c r="G377">
        <f t="shared" si="70"/>
        <v>0</v>
      </c>
      <c r="H377">
        <f t="shared" si="70"/>
        <v>0</v>
      </c>
      <c r="I377">
        <f t="shared" si="70"/>
        <v>0</v>
      </c>
      <c r="J377">
        <f t="shared" si="70"/>
        <v>0</v>
      </c>
      <c r="K377">
        <f t="shared" si="70"/>
        <v>0</v>
      </c>
      <c r="L377">
        <f t="shared" si="70"/>
        <v>0</v>
      </c>
      <c r="M377">
        <f t="shared" si="63"/>
        <v>102.25</v>
      </c>
      <c r="P377">
        <f t="shared" si="64"/>
        <v>4.6749999999999998</v>
      </c>
      <c r="Q377">
        <v>0.35</v>
      </c>
      <c r="R377">
        <f t="shared" si="65"/>
        <v>99.85042278257913</v>
      </c>
      <c r="S377">
        <f t="shared" si="67"/>
        <v>0.78749999999999998</v>
      </c>
      <c r="T377">
        <f t="shared" si="61"/>
        <v>100.63792278257912</v>
      </c>
      <c r="U377">
        <f t="shared" si="72"/>
        <v>0</v>
      </c>
      <c r="V377">
        <f t="shared" si="72"/>
        <v>0</v>
      </c>
      <c r="W377">
        <f t="shared" si="72"/>
        <v>0</v>
      </c>
      <c r="X377">
        <f t="shared" si="72"/>
        <v>0</v>
      </c>
      <c r="Y377">
        <f t="shared" si="72"/>
        <v>0</v>
      </c>
      <c r="Z377">
        <f t="shared" si="72"/>
        <v>0</v>
      </c>
      <c r="AA377">
        <f t="shared" si="72"/>
        <v>0</v>
      </c>
      <c r="AB377">
        <f t="shared" si="72"/>
        <v>0</v>
      </c>
      <c r="AC377">
        <f t="shared" si="72"/>
        <v>0</v>
      </c>
      <c r="AD377">
        <f t="shared" si="72"/>
        <v>0.98423396364380566</v>
      </c>
    </row>
    <row r="378" spans="2:30">
      <c r="B378">
        <v>4.6875</v>
      </c>
      <c r="D378">
        <f t="shared" si="71"/>
        <v>0</v>
      </c>
      <c r="E378">
        <f t="shared" si="70"/>
        <v>0</v>
      </c>
      <c r="F378">
        <f t="shared" si="70"/>
        <v>0</v>
      </c>
      <c r="G378">
        <f t="shared" si="70"/>
        <v>0</v>
      </c>
      <c r="H378">
        <f t="shared" si="70"/>
        <v>0</v>
      </c>
      <c r="I378">
        <f t="shared" si="70"/>
        <v>0</v>
      </c>
      <c r="J378">
        <f t="shared" si="70"/>
        <v>0</v>
      </c>
      <c r="K378">
        <f t="shared" si="70"/>
        <v>0</v>
      </c>
      <c r="L378">
        <f t="shared" si="70"/>
        <v>0</v>
      </c>
      <c r="M378">
        <f t="shared" si="63"/>
        <v>102.25</v>
      </c>
      <c r="P378">
        <f t="shared" si="64"/>
        <v>4.6875</v>
      </c>
      <c r="Q378">
        <v>0.375</v>
      </c>
      <c r="R378">
        <f t="shared" si="65"/>
        <v>99.855703195142524</v>
      </c>
      <c r="S378">
        <f t="shared" si="67"/>
        <v>0.84375</v>
      </c>
      <c r="T378">
        <f t="shared" si="61"/>
        <v>100.69945319514252</v>
      </c>
      <c r="U378">
        <f t="shared" si="72"/>
        <v>0</v>
      </c>
      <c r="V378">
        <f t="shared" si="72"/>
        <v>0</v>
      </c>
      <c r="W378">
        <f t="shared" si="72"/>
        <v>0</v>
      </c>
      <c r="X378">
        <f t="shared" si="72"/>
        <v>0</v>
      </c>
      <c r="Y378">
        <f t="shared" si="72"/>
        <v>0</v>
      </c>
      <c r="Z378">
        <f t="shared" si="72"/>
        <v>0</v>
      </c>
      <c r="AA378">
        <f t="shared" si="72"/>
        <v>0</v>
      </c>
      <c r="AB378">
        <f t="shared" si="72"/>
        <v>0</v>
      </c>
      <c r="AC378">
        <f t="shared" si="72"/>
        <v>0</v>
      </c>
      <c r="AD378">
        <f t="shared" si="72"/>
        <v>0.98483572806985353</v>
      </c>
    </row>
    <row r="379" spans="2:30">
      <c r="B379">
        <v>4.7</v>
      </c>
      <c r="D379">
        <f t="shared" si="71"/>
        <v>0</v>
      </c>
      <c r="E379">
        <f t="shared" si="70"/>
        <v>0</v>
      </c>
      <c r="F379">
        <f t="shared" si="70"/>
        <v>0</v>
      </c>
      <c r="G379">
        <f t="shared" si="70"/>
        <v>0</v>
      </c>
      <c r="H379">
        <f t="shared" si="70"/>
        <v>0</v>
      </c>
      <c r="I379">
        <f t="shared" si="70"/>
        <v>0</v>
      </c>
      <c r="J379">
        <f t="shared" si="70"/>
        <v>0</v>
      </c>
      <c r="K379">
        <f t="shared" si="70"/>
        <v>0</v>
      </c>
      <c r="L379">
        <f t="shared" si="70"/>
        <v>0</v>
      </c>
      <c r="M379">
        <f t="shared" si="63"/>
        <v>102.25</v>
      </c>
      <c r="P379">
        <f t="shared" si="64"/>
        <v>4.7</v>
      </c>
      <c r="Q379">
        <v>0.4</v>
      </c>
      <c r="R379">
        <f t="shared" si="65"/>
        <v>99.861021227636542</v>
      </c>
      <c r="S379">
        <f t="shared" si="67"/>
        <v>0.9</v>
      </c>
      <c r="T379">
        <f t="shared" si="61"/>
        <v>100.76102122763655</v>
      </c>
      <c r="U379">
        <f t="shared" si="72"/>
        <v>0</v>
      </c>
      <c r="V379">
        <f t="shared" si="72"/>
        <v>0</v>
      </c>
      <c r="W379">
        <f t="shared" si="72"/>
        <v>0</v>
      </c>
      <c r="X379">
        <f t="shared" si="72"/>
        <v>0</v>
      </c>
      <c r="Y379">
        <f t="shared" si="72"/>
        <v>0</v>
      </c>
      <c r="Z379">
        <f t="shared" si="72"/>
        <v>0</v>
      </c>
      <c r="AA379">
        <f t="shared" si="72"/>
        <v>0</v>
      </c>
      <c r="AB379">
        <f t="shared" si="72"/>
        <v>0</v>
      </c>
      <c r="AC379">
        <f t="shared" si="72"/>
        <v>0</v>
      </c>
      <c r="AD379">
        <f t="shared" si="72"/>
        <v>0.98543786041698334</v>
      </c>
    </row>
    <row r="380" spans="2:30">
      <c r="B380">
        <v>4.7125000000000004</v>
      </c>
      <c r="D380">
        <f t="shared" si="71"/>
        <v>0</v>
      </c>
      <c r="E380">
        <f t="shared" si="70"/>
        <v>0</v>
      </c>
      <c r="F380">
        <f t="shared" si="70"/>
        <v>0</v>
      </c>
      <c r="G380">
        <f t="shared" si="70"/>
        <v>0</v>
      </c>
      <c r="H380">
        <f t="shared" si="70"/>
        <v>0</v>
      </c>
      <c r="I380">
        <f t="shared" si="70"/>
        <v>0</v>
      </c>
      <c r="J380">
        <f t="shared" si="70"/>
        <v>0</v>
      </c>
      <c r="K380">
        <f t="shared" si="70"/>
        <v>0</v>
      </c>
      <c r="L380">
        <f t="shared" si="70"/>
        <v>0</v>
      </c>
      <c r="M380">
        <f t="shared" si="63"/>
        <v>102.25</v>
      </c>
      <c r="P380">
        <f t="shared" si="64"/>
        <v>4.7125000000000004</v>
      </c>
      <c r="Q380">
        <v>0.42499999999999999</v>
      </c>
      <c r="R380">
        <f t="shared" si="65"/>
        <v>99.866376903062118</v>
      </c>
      <c r="S380">
        <f t="shared" si="67"/>
        <v>0.95624999999999993</v>
      </c>
      <c r="T380">
        <f t="shared" si="61"/>
        <v>100.82262690306212</v>
      </c>
      <c r="U380">
        <f t="shared" si="72"/>
        <v>0</v>
      </c>
      <c r="V380">
        <f t="shared" si="72"/>
        <v>0</v>
      </c>
      <c r="W380">
        <f t="shared" si="72"/>
        <v>0</v>
      </c>
      <c r="X380">
        <f t="shared" si="72"/>
        <v>0</v>
      </c>
      <c r="Y380">
        <f t="shared" si="72"/>
        <v>0</v>
      </c>
      <c r="Z380">
        <f t="shared" si="72"/>
        <v>0</v>
      </c>
      <c r="AA380">
        <f t="shared" si="72"/>
        <v>0</v>
      </c>
      <c r="AB380">
        <f t="shared" si="72"/>
        <v>0</v>
      </c>
      <c r="AC380">
        <f t="shared" si="72"/>
        <v>0</v>
      </c>
      <c r="AD380">
        <f t="shared" si="72"/>
        <v>0.98604036091014291</v>
      </c>
    </row>
    <row r="381" spans="2:30">
      <c r="B381">
        <v>4.7249999999999996</v>
      </c>
      <c r="D381">
        <f t="shared" si="71"/>
        <v>0</v>
      </c>
      <c r="E381">
        <f t="shared" si="70"/>
        <v>0</v>
      </c>
      <c r="F381">
        <f t="shared" si="70"/>
        <v>0</v>
      </c>
      <c r="G381">
        <f t="shared" si="70"/>
        <v>0</v>
      </c>
      <c r="H381">
        <f t="shared" si="70"/>
        <v>0</v>
      </c>
      <c r="I381">
        <f t="shared" si="70"/>
        <v>0</v>
      </c>
      <c r="J381">
        <f t="shared" si="70"/>
        <v>0</v>
      </c>
      <c r="K381">
        <f t="shared" si="70"/>
        <v>0</v>
      </c>
      <c r="L381">
        <f t="shared" si="70"/>
        <v>0</v>
      </c>
      <c r="M381">
        <f t="shared" si="63"/>
        <v>102.25</v>
      </c>
      <c r="P381">
        <f t="shared" si="64"/>
        <v>4.7249999999999996</v>
      </c>
      <c r="Q381">
        <v>0.45</v>
      </c>
      <c r="R381">
        <f t="shared" si="65"/>
        <v>99.871770244434273</v>
      </c>
      <c r="S381">
        <f t="shared" si="67"/>
        <v>1.0125</v>
      </c>
      <c r="T381">
        <f t="shared" si="61"/>
        <v>100.88427024443428</v>
      </c>
      <c r="U381">
        <f t="shared" si="72"/>
        <v>0</v>
      </c>
      <c r="V381">
        <f t="shared" si="72"/>
        <v>0</v>
      </c>
      <c r="W381">
        <f t="shared" si="72"/>
        <v>0</v>
      </c>
      <c r="X381">
        <f t="shared" si="72"/>
        <v>0</v>
      </c>
      <c r="Y381">
        <f t="shared" si="72"/>
        <v>0</v>
      </c>
      <c r="Z381">
        <f t="shared" si="72"/>
        <v>0</v>
      </c>
      <c r="AA381">
        <f t="shared" si="72"/>
        <v>0</v>
      </c>
      <c r="AB381">
        <f t="shared" si="72"/>
        <v>0</v>
      </c>
      <c r="AC381">
        <f t="shared" si="72"/>
        <v>0</v>
      </c>
      <c r="AD381">
        <f t="shared" si="72"/>
        <v>0.98664322977441832</v>
      </c>
    </row>
    <row r="382" spans="2:30">
      <c r="B382">
        <v>4.7374999999999998</v>
      </c>
      <c r="D382">
        <f t="shared" si="71"/>
        <v>0</v>
      </c>
      <c r="E382">
        <f t="shared" si="70"/>
        <v>0</v>
      </c>
      <c r="F382">
        <f t="shared" si="70"/>
        <v>0</v>
      </c>
      <c r="G382">
        <f t="shared" si="70"/>
        <v>0</v>
      </c>
      <c r="H382">
        <f t="shared" si="70"/>
        <v>0</v>
      </c>
      <c r="I382">
        <f t="shared" si="70"/>
        <v>0</v>
      </c>
      <c r="J382">
        <f t="shared" si="70"/>
        <v>0</v>
      </c>
      <c r="K382">
        <f t="shared" si="70"/>
        <v>0</v>
      </c>
      <c r="L382">
        <f t="shared" si="70"/>
        <v>0</v>
      </c>
      <c r="M382">
        <f t="shared" si="63"/>
        <v>102.25</v>
      </c>
      <c r="P382">
        <f t="shared" si="64"/>
        <v>4.7374999999999998</v>
      </c>
      <c r="Q382">
        <v>0.47499999999999998</v>
      </c>
      <c r="R382">
        <f t="shared" si="65"/>
        <v>99.877201274782152</v>
      </c>
      <c r="S382">
        <f t="shared" si="67"/>
        <v>1.0687499999999999</v>
      </c>
      <c r="T382">
        <f t="shared" si="61"/>
        <v>100.94595127478215</v>
      </c>
      <c r="U382">
        <f t="shared" si="72"/>
        <v>0</v>
      </c>
      <c r="V382">
        <f t="shared" si="72"/>
        <v>0</v>
      </c>
      <c r="W382">
        <f t="shared" si="72"/>
        <v>0</v>
      </c>
      <c r="X382">
        <f t="shared" si="72"/>
        <v>0</v>
      </c>
      <c r="Y382">
        <f t="shared" si="72"/>
        <v>0</v>
      </c>
      <c r="Z382">
        <f t="shared" si="72"/>
        <v>0</v>
      </c>
      <c r="AA382">
        <f t="shared" si="72"/>
        <v>0</v>
      </c>
      <c r="AB382">
        <f t="shared" si="72"/>
        <v>0</v>
      </c>
      <c r="AC382">
        <f t="shared" si="72"/>
        <v>0</v>
      </c>
      <c r="AD382">
        <f t="shared" si="72"/>
        <v>0.98724646723503318</v>
      </c>
    </row>
    <row r="383" spans="2:30">
      <c r="B383">
        <v>4.75</v>
      </c>
      <c r="D383">
        <f t="shared" si="71"/>
        <v>0</v>
      </c>
      <c r="E383">
        <f t="shared" si="70"/>
        <v>0</v>
      </c>
      <c r="F383">
        <f t="shared" si="70"/>
        <v>0</v>
      </c>
      <c r="G383">
        <f t="shared" si="70"/>
        <v>0</v>
      </c>
      <c r="H383">
        <f t="shared" si="70"/>
        <v>0</v>
      </c>
      <c r="I383">
        <f t="shared" si="70"/>
        <v>0</v>
      </c>
      <c r="J383">
        <f t="shared" si="70"/>
        <v>0</v>
      </c>
      <c r="K383">
        <f t="shared" si="70"/>
        <v>0</v>
      </c>
      <c r="L383">
        <f t="shared" si="70"/>
        <v>0</v>
      </c>
      <c r="M383">
        <f t="shared" si="63"/>
        <v>102.25</v>
      </c>
      <c r="P383">
        <f t="shared" si="64"/>
        <v>4.75</v>
      </c>
      <c r="Q383">
        <v>0.5</v>
      </c>
      <c r="R383">
        <f t="shared" si="65"/>
        <v>99.882670017148911</v>
      </c>
      <c r="S383">
        <f t="shared" si="67"/>
        <v>1.125</v>
      </c>
      <c r="T383">
        <f t="shared" si="61"/>
        <v>101.00767001714891</v>
      </c>
      <c r="U383">
        <f t="shared" si="72"/>
        <v>0</v>
      </c>
      <c r="V383">
        <f t="shared" si="72"/>
        <v>0</v>
      </c>
      <c r="W383">
        <f t="shared" si="72"/>
        <v>0</v>
      </c>
      <c r="X383">
        <f t="shared" si="72"/>
        <v>0</v>
      </c>
      <c r="Y383">
        <f t="shared" si="72"/>
        <v>0</v>
      </c>
      <c r="Z383">
        <f t="shared" si="72"/>
        <v>0</v>
      </c>
      <c r="AA383">
        <f t="shared" si="72"/>
        <v>0</v>
      </c>
      <c r="AB383">
        <f t="shared" si="72"/>
        <v>0</v>
      </c>
      <c r="AC383">
        <f t="shared" si="72"/>
        <v>0</v>
      </c>
      <c r="AD383">
        <f t="shared" si="72"/>
        <v>0.98785007351734877</v>
      </c>
    </row>
    <row r="384" spans="2:30">
      <c r="B384">
        <v>4.7625000000000002</v>
      </c>
      <c r="D384">
        <f t="shared" si="71"/>
        <v>0</v>
      </c>
      <c r="E384">
        <f t="shared" si="70"/>
        <v>0</v>
      </c>
      <c r="F384">
        <f t="shared" si="70"/>
        <v>0</v>
      </c>
      <c r="G384">
        <f t="shared" si="70"/>
        <v>0</v>
      </c>
      <c r="H384">
        <f t="shared" si="70"/>
        <v>0</v>
      </c>
      <c r="I384">
        <f t="shared" si="70"/>
        <v>0</v>
      </c>
      <c r="J384">
        <f t="shared" si="70"/>
        <v>0</v>
      </c>
      <c r="K384">
        <f t="shared" si="70"/>
        <v>0</v>
      </c>
      <c r="L384">
        <f t="shared" si="70"/>
        <v>0</v>
      </c>
      <c r="M384">
        <f t="shared" si="63"/>
        <v>102.25</v>
      </c>
      <c r="P384">
        <f t="shared" si="64"/>
        <v>4.7625000000000002</v>
      </c>
      <c r="Q384">
        <v>0.52500000000000002</v>
      </c>
      <c r="R384">
        <f t="shared" si="65"/>
        <v>99.888176494591818</v>
      </c>
      <c r="S384">
        <f t="shared" si="67"/>
        <v>1.1812500000000001</v>
      </c>
      <c r="T384">
        <f t="shared" si="61"/>
        <v>101.06942649459182</v>
      </c>
      <c r="U384">
        <f t="shared" si="72"/>
        <v>0</v>
      </c>
      <c r="V384">
        <f t="shared" si="72"/>
        <v>0</v>
      </c>
      <c r="W384">
        <f t="shared" si="72"/>
        <v>0</v>
      </c>
      <c r="X384">
        <f t="shared" si="72"/>
        <v>0</v>
      </c>
      <c r="Y384">
        <f t="shared" si="72"/>
        <v>0</v>
      </c>
      <c r="Z384">
        <f t="shared" si="72"/>
        <v>0</v>
      </c>
      <c r="AA384">
        <f t="shared" si="72"/>
        <v>0</v>
      </c>
      <c r="AB384">
        <f t="shared" si="72"/>
        <v>0</v>
      </c>
      <c r="AC384">
        <f t="shared" si="72"/>
        <v>0</v>
      </c>
      <c r="AD384">
        <f t="shared" si="72"/>
        <v>0.98845404884686383</v>
      </c>
    </row>
    <row r="385" spans="2:30">
      <c r="B385">
        <v>4.7750000000000004</v>
      </c>
      <c r="D385">
        <f t="shared" si="71"/>
        <v>0</v>
      </c>
      <c r="E385">
        <f t="shared" si="70"/>
        <v>0</v>
      </c>
      <c r="F385">
        <f t="shared" si="70"/>
        <v>0</v>
      </c>
      <c r="G385">
        <f t="shared" si="70"/>
        <v>0</v>
      </c>
      <c r="H385">
        <f t="shared" si="70"/>
        <v>0</v>
      </c>
      <c r="I385">
        <f t="shared" si="70"/>
        <v>0</v>
      </c>
      <c r="J385">
        <f t="shared" si="70"/>
        <v>0</v>
      </c>
      <c r="K385">
        <f t="shared" si="70"/>
        <v>0</v>
      </c>
      <c r="L385">
        <f t="shared" si="70"/>
        <v>0</v>
      </c>
      <c r="M385">
        <f t="shared" si="63"/>
        <v>102.25</v>
      </c>
      <c r="P385">
        <f t="shared" si="64"/>
        <v>4.7750000000000004</v>
      </c>
      <c r="Q385">
        <v>0.55000000000000004</v>
      </c>
      <c r="R385">
        <f t="shared" si="65"/>
        <v>99.893720730182267</v>
      </c>
      <c r="S385">
        <f t="shared" si="67"/>
        <v>1.2375</v>
      </c>
      <c r="T385">
        <f t="shared" si="61"/>
        <v>101.13122073018226</v>
      </c>
      <c r="U385">
        <f t="shared" si="72"/>
        <v>0</v>
      </c>
      <c r="V385">
        <f t="shared" si="72"/>
        <v>0</v>
      </c>
      <c r="W385">
        <f t="shared" si="72"/>
        <v>0</v>
      </c>
      <c r="X385">
        <f t="shared" si="72"/>
        <v>0</v>
      </c>
      <c r="Y385">
        <f t="shared" si="72"/>
        <v>0</v>
      </c>
      <c r="Z385">
        <f t="shared" si="72"/>
        <v>0</v>
      </c>
      <c r="AA385">
        <f t="shared" si="72"/>
        <v>0</v>
      </c>
      <c r="AB385">
        <f t="shared" si="72"/>
        <v>0</v>
      </c>
      <c r="AC385">
        <f t="shared" si="72"/>
        <v>0</v>
      </c>
      <c r="AD385">
        <f t="shared" si="72"/>
        <v>0.98905839344921531</v>
      </c>
    </row>
    <row r="386" spans="2:30">
      <c r="B386">
        <v>4.7874999999999996</v>
      </c>
      <c r="D386">
        <f t="shared" si="71"/>
        <v>0</v>
      </c>
      <c r="E386">
        <f t="shared" si="70"/>
        <v>0</v>
      </c>
      <c r="F386">
        <f t="shared" si="70"/>
        <v>0</v>
      </c>
      <c r="G386">
        <f t="shared" si="70"/>
        <v>0</v>
      </c>
      <c r="H386">
        <f t="shared" si="70"/>
        <v>0</v>
      </c>
      <c r="I386">
        <f t="shared" si="70"/>
        <v>0</v>
      </c>
      <c r="J386">
        <f t="shared" si="70"/>
        <v>0</v>
      </c>
      <c r="K386">
        <f t="shared" si="70"/>
        <v>0</v>
      </c>
      <c r="L386">
        <f t="shared" si="70"/>
        <v>0</v>
      </c>
      <c r="M386">
        <f t="shared" si="63"/>
        <v>102.25</v>
      </c>
      <c r="P386">
        <f t="shared" si="64"/>
        <v>4.7874999999999996</v>
      </c>
      <c r="Q386">
        <v>0.57499999999999996</v>
      </c>
      <c r="R386">
        <f t="shared" si="65"/>
        <v>99.89930274700572</v>
      </c>
      <c r="S386">
        <f t="shared" si="67"/>
        <v>1.29375</v>
      </c>
      <c r="T386">
        <f t="shared" si="61"/>
        <v>101.19305274700572</v>
      </c>
      <c r="U386">
        <f t="shared" si="72"/>
        <v>0</v>
      </c>
      <c r="V386">
        <f t="shared" si="72"/>
        <v>0</v>
      </c>
      <c r="W386">
        <f t="shared" si="72"/>
        <v>0</v>
      </c>
      <c r="X386">
        <f t="shared" si="72"/>
        <v>0</v>
      </c>
      <c r="Y386">
        <f t="shared" si="72"/>
        <v>0</v>
      </c>
      <c r="Z386">
        <f t="shared" si="72"/>
        <v>0</v>
      </c>
      <c r="AA386">
        <f t="shared" si="72"/>
        <v>0</v>
      </c>
      <c r="AB386">
        <f t="shared" si="72"/>
        <v>0</v>
      </c>
      <c r="AC386">
        <f t="shared" si="72"/>
        <v>0</v>
      </c>
      <c r="AD386">
        <f t="shared" si="72"/>
        <v>0.98966310755017817</v>
      </c>
    </row>
    <row r="387" spans="2:30">
      <c r="B387">
        <v>4.8</v>
      </c>
      <c r="D387">
        <f t="shared" si="71"/>
        <v>0</v>
      </c>
      <c r="E387">
        <f t="shared" si="70"/>
        <v>0</v>
      </c>
      <c r="F387">
        <f t="shared" si="70"/>
        <v>0</v>
      </c>
      <c r="G387">
        <f t="shared" si="70"/>
        <v>0</v>
      </c>
      <c r="H387">
        <f t="shared" si="70"/>
        <v>0</v>
      </c>
      <c r="I387">
        <f t="shared" si="70"/>
        <v>0</v>
      </c>
      <c r="J387">
        <f t="shared" si="70"/>
        <v>0</v>
      </c>
      <c r="K387">
        <f t="shared" si="70"/>
        <v>0</v>
      </c>
      <c r="L387">
        <f t="shared" si="70"/>
        <v>0</v>
      </c>
      <c r="M387">
        <f t="shared" si="63"/>
        <v>102.25</v>
      </c>
      <c r="P387">
        <f t="shared" si="64"/>
        <v>4.8</v>
      </c>
      <c r="Q387">
        <v>0.6</v>
      </c>
      <c r="R387">
        <f t="shared" si="65"/>
        <v>99.904922568161766</v>
      </c>
      <c r="S387">
        <f t="shared" si="67"/>
        <v>1.3499999999999999</v>
      </c>
      <c r="T387">
        <f t="shared" ref="T387:T403" si="73">SUMPRODUCT(U387:AD387,D387:M387)</f>
        <v>101.25492256816176</v>
      </c>
      <c r="U387">
        <f t="shared" ref="U387:AD402" si="74">IF((1/(1+$O$3/2)^((U$2-$P387)*2))&lt;=1,1/(1+$O$3/2)^((U$2-$P387)*2),0)</f>
        <v>0</v>
      </c>
      <c r="V387">
        <f t="shared" si="74"/>
        <v>0</v>
      </c>
      <c r="W387">
        <f t="shared" si="74"/>
        <v>0</v>
      </c>
      <c r="X387">
        <f t="shared" si="74"/>
        <v>0</v>
      </c>
      <c r="Y387">
        <f t="shared" si="74"/>
        <v>0</v>
      </c>
      <c r="Z387">
        <f t="shared" si="74"/>
        <v>0</v>
      </c>
      <c r="AA387">
        <f t="shared" si="74"/>
        <v>0</v>
      </c>
      <c r="AB387">
        <f t="shared" si="74"/>
        <v>0</v>
      </c>
      <c r="AC387">
        <f t="shared" si="74"/>
        <v>0</v>
      </c>
      <c r="AD387">
        <f t="shared" si="74"/>
        <v>0.99026819137566513</v>
      </c>
    </row>
    <row r="388" spans="2:30">
      <c r="B388">
        <v>4.8125</v>
      </c>
      <c r="D388">
        <f t="shared" si="71"/>
        <v>0</v>
      </c>
      <c r="E388">
        <f t="shared" si="70"/>
        <v>0</v>
      </c>
      <c r="F388">
        <f t="shared" si="70"/>
        <v>0</v>
      </c>
      <c r="G388">
        <f t="shared" si="70"/>
        <v>0</v>
      </c>
      <c r="H388">
        <f t="shared" si="70"/>
        <v>0</v>
      </c>
      <c r="I388">
        <f t="shared" si="70"/>
        <v>0</v>
      </c>
      <c r="J388">
        <f t="shared" si="70"/>
        <v>0</v>
      </c>
      <c r="K388">
        <f t="shared" si="70"/>
        <v>0</v>
      </c>
      <c r="L388">
        <f t="shared" si="70"/>
        <v>0</v>
      </c>
      <c r="M388">
        <f t="shared" ref="M388:M403" si="75">IF($B388&lt;=M$2,100*$D$1/2,0)+100</f>
        <v>102.25</v>
      </c>
      <c r="P388">
        <f t="shared" ref="P388:P403" si="76">B388</f>
        <v>4.8125</v>
      </c>
      <c r="Q388">
        <v>0.625</v>
      </c>
      <c r="R388">
        <f t="shared" ref="R388:R403" si="77">T388-S388</f>
        <v>99.910580216764117</v>
      </c>
      <c r="S388">
        <f t="shared" si="67"/>
        <v>1.40625</v>
      </c>
      <c r="T388">
        <f t="shared" si="73"/>
        <v>101.31683021676412</v>
      </c>
      <c r="U388">
        <f t="shared" si="74"/>
        <v>0</v>
      </c>
      <c r="V388">
        <f t="shared" si="74"/>
        <v>0</v>
      </c>
      <c r="W388">
        <f t="shared" si="74"/>
        <v>0</v>
      </c>
      <c r="X388">
        <f t="shared" si="74"/>
        <v>0</v>
      </c>
      <c r="Y388">
        <f t="shared" si="74"/>
        <v>0</v>
      </c>
      <c r="Z388">
        <f t="shared" si="74"/>
        <v>0</v>
      </c>
      <c r="AA388">
        <f t="shared" si="74"/>
        <v>0</v>
      </c>
      <c r="AB388">
        <f t="shared" si="74"/>
        <v>0</v>
      </c>
      <c r="AC388">
        <f t="shared" si="74"/>
        <v>0</v>
      </c>
      <c r="AD388">
        <f t="shared" si="74"/>
        <v>0.99087364515172727</v>
      </c>
    </row>
    <row r="389" spans="2:30">
      <c r="B389">
        <v>4.8250000000000002</v>
      </c>
      <c r="D389">
        <f t="shared" si="71"/>
        <v>0</v>
      </c>
      <c r="E389">
        <f t="shared" si="70"/>
        <v>0</v>
      </c>
      <c r="F389">
        <f t="shared" si="70"/>
        <v>0</v>
      </c>
      <c r="G389">
        <f t="shared" ref="E389:L403" si="78">IF($B389&lt;=G$2,100*$D$1/2,0)</f>
        <v>0</v>
      </c>
      <c r="H389">
        <f t="shared" si="78"/>
        <v>0</v>
      </c>
      <c r="I389">
        <f t="shared" si="78"/>
        <v>0</v>
      </c>
      <c r="J389">
        <f t="shared" si="78"/>
        <v>0</v>
      </c>
      <c r="K389">
        <f t="shared" si="78"/>
        <v>0</v>
      </c>
      <c r="L389">
        <f t="shared" si="78"/>
        <v>0</v>
      </c>
      <c r="M389">
        <f t="shared" si="75"/>
        <v>102.25</v>
      </c>
      <c r="P389">
        <f t="shared" si="76"/>
        <v>4.8250000000000002</v>
      </c>
      <c r="Q389">
        <v>0.65</v>
      </c>
      <c r="R389">
        <f t="shared" si="77"/>
        <v>99.916275715940642</v>
      </c>
      <c r="S389">
        <f t="shared" ref="S389:S403" si="79">(100*$D$1/2)*Q389</f>
        <v>1.4625000000000001</v>
      </c>
      <c r="T389">
        <f t="shared" si="73"/>
        <v>101.37877571594065</v>
      </c>
      <c r="U389">
        <f t="shared" si="74"/>
        <v>0</v>
      </c>
      <c r="V389">
        <f t="shared" si="74"/>
        <v>0</v>
      </c>
      <c r="W389">
        <f t="shared" si="74"/>
        <v>0</v>
      </c>
      <c r="X389">
        <f t="shared" si="74"/>
        <v>0</v>
      </c>
      <c r="Y389">
        <f t="shared" si="74"/>
        <v>0</v>
      </c>
      <c r="Z389">
        <f t="shared" si="74"/>
        <v>0</v>
      </c>
      <c r="AA389">
        <f t="shared" si="74"/>
        <v>0</v>
      </c>
      <c r="AB389">
        <f t="shared" si="74"/>
        <v>0</v>
      </c>
      <c r="AC389">
        <f t="shared" si="74"/>
        <v>0</v>
      </c>
      <c r="AD389">
        <f t="shared" si="74"/>
        <v>0.99147946910455398</v>
      </c>
    </row>
    <row r="390" spans="2:30">
      <c r="B390">
        <v>4.8375000000000004</v>
      </c>
      <c r="D390">
        <f t="shared" si="71"/>
        <v>0</v>
      </c>
      <c r="E390">
        <f t="shared" si="78"/>
        <v>0</v>
      </c>
      <c r="F390">
        <f t="shared" si="78"/>
        <v>0</v>
      </c>
      <c r="G390">
        <f t="shared" si="78"/>
        <v>0</v>
      </c>
      <c r="H390">
        <f t="shared" si="78"/>
        <v>0</v>
      </c>
      <c r="I390">
        <f t="shared" si="78"/>
        <v>0</v>
      </c>
      <c r="J390">
        <f t="shared" si="78"/>
        <v>0</v>
      </c>
      <c r="K390">
        <f t="shared" si="78"/>
        <v>0</v>
      </c>
      <c r="L390">
        <f t="shared" si="78"/>
        <v>0</v>
      </c>
      <c r="M390">
        <f t="shared" si="75"/>
        <v>102.25</v>
      </c>
      <c r="P390">
        <f t="shared" si="76"/>
        <v>4.8375000000000004</v>
      </c>
      <c r="Q390">
        <v>0.67500000000000004</v>
      </c>
      <c r="R390">
        <f t="shared" si="77"/>
        <v>99.922009088833306</v>
      </c>
      <c r="S390">
        <f t="shared" si="79"/>
        <v>1.51875</v>
      </c>
      <c r="T390">
        <f t="shared" si="73"/>
        <v>101.4407590888333</v>
      </c>
      <c r="U390">
        <f t="shared" si="74"/>
        <v>0</v>
      </c>
      <c r="V390">
        <f t="shared" si="74"/>
        <v>0</v>
      </c>
      <c r="W390">
        <f t="shared" si="74"/>
        <v>0</v>
      </c>
      <c r="X390">
        <f t="shared" si="74"/>
        <v>0</v>
      </c>
      <c r="Y390">
        <f t="shared" si="74"/>
        <v>0</v>
      </c>
      <c r="Z390">
        <f t="shared" si="74"/>
        <v>0</v>
      </c>
      <c r="AA390">
        <f t="shared" si="74"/>
        <v>0</v>
      </c>
      <c r="AB390">
        <f t="shared" si="74"/>
        <v>0</v>
      </c>
      <c r="AC390">
        <f t="shared" si="74"/>
        <v>0</v>
      </c>
      <c r="AD390">
        <f t="shared" si="74"/>
        <v>0.99208566346047244</v>
      </c>
    </row>
    <row r="391" spans="2:30">
      <c r="B391">
        <v>4.8499999999999996</v>
      </c>
      <c r="D391">
        <f t="shared" si="71"/>
        <v>0</v>
      </c>
      <c r="E391">
        <f t="shared" si="78"/>
        <v>0</v>
      </c>
      <c r="F391">
        <f t="shared" si="78"/>
        <v>0</v>
      </c>
      <c r="G391">
        <f t="shared" si="78"/>
        <v>0</v>
      </c>
      <c r="H391">
        <f t="shared" si="78"/>
        <v>0</v>
      </c>
      <c r="I391">
        <f t="shared" si="78"/>
        <v>0</v>
      </c>
      <c r="J391">
        <f t="shared" si="78"/>
        <v>0</v>
      </c>
      <c r="K391">
        <f t="shared" si="78"/>
        <v>0</v>
      </c>
      <c r="L391">
        <f t="shared" si="78"/>
        <v>0</v>
      </c>
      <c r="M391">
        <f t="shared" si="75"/>
        <v>102.25</v>
      </c>
      <c r="P391">
        <f t="shared" si="76"/>
        <v>4.8499999999999996</v>
      </c>
      <c r="Q391">
        <v>0.7</v>
      </c>
      <c r="R391">
        <f t="shared" si="77"/>
        <v>99.927780358598241</v>
      </c>
      <c r="S391">
        <f t="shared" si="79"/>
        <v>1.575</v>
      </c>
      <c r="T391">
        <f t="shared" si="73"/>
        <v>101.50278035859824</v>
      </c>
      <c r="U391">
        <f t="shared" si="74"/>
        <v>0</v>
      </c>
      <c r="V391">
        <f t="shared" si="74"/>
        <v>0</v>
      </c>
      <c r="W391">
        <f t="shared" si="74"/>
        <v>0</v>
      </c>
      <c r="X391">
        <f t="shared" si="74"/>
        <v>0</v>
      </c>
      <c r="Y391">
        <f t="shared" si="74"/>
        <v>0</v>
      </c>
      <c r="Z391">
        <f t="shared" si="74"/>
        <v>0</v>
      </c>
      <c r="AA391">
        <f t="shared" si="74"/>
        <v>0</v>
      </c>
      <c r="AB391">
        <f t="shared" si="74"/>
        <v>0</v>
      </c>
      <c r="AC391">
        <f t="shared" si="74"/>
        <v>0</v>
      </c>
      <c r="AD391">
        <f t="shared" si="74"/>
        <v>0.99269222844594862</v>
      </c>
    </row>
    <row r="392" spans="2:30">
      <c r="B392">
        <v>4.8624999999999998</v>
      </c>
      <c r="D392">
        <f t="shared" si="71"/>
        <v>0</v>
      </c>
      <c r="E392">
        <f t="shared" si="78"/>
        <v>0</v>
      </c>
      <c r="F392">
        <f t="shared" si="78"/>
        <v>0</v>
      </c>
      <c r="G392">
        <f t="shared" si="78"/>
        <v>0</v>
      </c>
      <c r="H392">
        <f t="shared" si="78"/>
        <v>0</v>
      </c>
      <c r="I392">
        <f t="shared" si="78"/>
        <v>0</v>
      </c>
      <c r="J392">
        <f t="shared" si="78"/>
        <v>0</v>
      </c>
      <c r="K392">
        <f t="shared" si="78"/>
        <v>0</v>
      </c>
      <c r="L392">
        <f t="shared" si="78"/>
        <v>0</v>
      </c>
      <c r="M392">
        <f t="shared" si="75"/>
        <v>102.25</v>
      </c>
      <c r="P392">
        <f t="shared" si="76"/>
        <v>4.8624999999999998</v>
      </c>
      <c r="Q392">
        <v>0.72499999999999998</v>
      </c>
      <c r="R392">
        <f t="shared" si="77"/>
        <v>99.933589548405763</v>
      </c>
      <c r="S392">
        <f t="shared" si="79"/>
        <v>1.6312499999999999</v>
      </c>
      <c r="T392">
        <f t="shared" si="73"/>
        <v>101.56483954840576</v>
      </c>
      <c r="U392">
        <f t="shared" si="74"/>
        <v>0</v>
      </c>
      <c r="V392">
        <f t="shared" si="74"/>
        <v>0</v>
      </c>
      <c r="W392">
        <f t="shared" si="74"/>
        <v>0</v>
      </c>
      <c r="X392">
        <f t="shared" si="74"/>
        <v>0</v>
      </c>
      <c r="Y392">
        <f t="shared" si="74"/>
        <v>0</v>
      </c>
      <c r="Z392">
        <f t="shared" si="74"/>
        <v>0</v>
      </c>
      <c r="AA392">
        <f t="shared" si="74"/>
        <v>0</v>
      </c>
      <c r="AB392">
        <f t="shared" si="74"/>
        <v>0</v>
      </c>
      <c r="AC392">
        <f t="shared" si="74"/>
        <v>0</v>
      </c>
      <c r="AD392">
        <f t="shared" si="74"/>
        <v>0.9932991642875868</v>
      </c>
    </row>
    <row r="393" spans="2:30">
      <c r="B393">
        <v>4.875</v>
      </c>
      <c r="D393">
        <f t="shared" si="71"/>
        <v>0</v>
      </c>
      <c r="E393">
        <f t="shared" si="78"/>
        <v>0</v>
      </c>
      <c r="F393">
        <f t="shared" si="78"/>
        <v>0</v>
      </c>
      <c r="G393">
        <f t="shared" si="78"/>
        <v>0</v>
      </c>
      <c r="H393">
        <f t="shared" si="78"/>
        <v>0</v>
      </c>
      <c r="I393">
        <f t="shared" si="78"/>
        <v>0</v>
      </c>
      <c r="J393">
        <f t="shared" si="78"/>
        <v>0</v>
      </c>
      <c r="K393">
        <f t="shared" si="78"/>
        <v>0</v>
      </c>
      <c r="L393">
        <f t="shared" si="78"/>
        <v>0</v>
      </c>
      <c r="M393">
        <f t="shared" si="75"/>
        <v>102.25</v>
      </c>
      <c r="P393">
        <f t="shared" si="76"/>
        <v>4.875</v>
      </c>
      <c r="Q393">
        <v>0.75</v>
      </c>
      <c r="R393">
        <f t="shared" si="77"/>
        <v>99.939436681440284</v>
      </c>
      <c r="S393">
        <f t="shared" si="79"/>
        <v>1.6875</v>
      </c>
      <c r="T393">
        <f t="shared" si="73"/>
        <v>101.62693668144028</v>
      </c>
      <c r="U393">
        <f t="shared" si="74"/>
        <v>0</v>
      </c>
      <c r="V393">
        <f t="shared" si="74"/>
        <v>0</v>
      </c>
      <c r="W393">
        <f t="shared" si="74"/>
        <v>0</v>
      </c>
      <c r="X393">
        <f t="shared" si="74"/>
        <v>0</v>
      </c>
      <c r="Y393">
        <f t="shared" si="74"/>
        <v>0</v>
      </c>
      <c r="Z393">
        <f t="shared" si="74"/>
        <v>0</v>
      </c>
      <c r="AA393">
        <f t="shared" si="74"/>
        <v>0</v>
      </c>
      <c r="AB393">
        <f t="shared" si="74"/>
        <v>0</v>
      </c>
      <c r="AC393">
        <f t="shared" si="74"/>
        <v>0</v>
      </c>
      <c r="AD393">
        <f t="shared" si="74"/>
        <v>0.99390647121212994</v>
      </c>
    </row>
    <row r="394" spans="2:30">
      <c r="B394">
        <v>4.8875000000000002</v>
      </c>
      <c r="D394">
        <f t="shared" si="71"/>
        <v>0</v>
      </c>
      <c r="E394">
        <f t="shared" si="78"/>
        <v>0</v>
      </c>
      <c r="F394">
        <f t="shared" si="78"/>
        <v>0</v>
      </c>
      <c r="G394">
        <f t="shared" si="78"/>
        <v>0</v>
      </c>
      <c r="H394">
        <f t="shared" si="78"/>
        <v>0</v>
      </c>
      <c r="I394">
        <f t="shared" si="78"/>
        <v>0</v>
      </c>
      <c r="J394">
        <f t="shared" si="78"/>
        <v>0</v>
      </c>
      <c r="K394">
        <f t="shared" si="78"/>
        <v>0</v>
      </c>
      <c r="L394">
        <f t="shared" si="78"/>
        <v>0</v>
      </c>
      <c r="M394">
        <f t="shared" si="75"/>
        <v>102.25</v>
      </c>
      <c r="P394">
        <f t="shared" si="76"/>
        <v>4.8875000000000002</v>
      </c>
      <c r="Q394">
        <v>0.77500000000000002</v>
      </c>
      <c r="R394">
        <f t="shared" si="77"/>
        <v>99.9453217809005</v>
      </c>
      <c r="S394">
        <f t="shared" si="79"/>
        <v>1.7437500000000001</v>
      </c>
      <c r="T394">
        <f t="shared" si="73"/>
        <v>101.68907178090051</v>
      </c>
      <c r="U394">
        <f t="shared" si="74"/>
        <v>0</v>
      </c>
      <c r="V394">
        <f t="shared" si="74"/>
        <v>0</v>
      </c>
      <c r="W394">
        <f t="shared" si="74"/>
        <v>0</v>
      </c>
      <c r="X394">
        <f t="shared" si="74"/>
        <v>0</v>
      </c>
      <c r="Y394">
        <f t="shared" si="74"/>
        <v>0</v>
      </c>
      <c r="Z394">
        <f t="shared" si="74"/>
        <v>0</v>
      </c>
      <c r="AA394">
        <f t="shared" si="74"/>
        <v>0</v>
      </c>
      <c r="AB394">
        <f t="shared" si="74"/>
        <v>0</v>
      </c>
      <c r="AC394">
        <f t="shared" si="74"/>
        <v>0</v>
      </c>
      <c r="AD394">
        <f t="shared" si="74"/>
        <v>0.99451414944645966</v>
      </c>
    </row>
    <row r="395" spans="2:30">
      <c r="B395">
        <v>4.9000000000000004</v>
      </c>
      <c r="D395">
        <f t="shared" si="71"/>
        <v>0</v>
      </c>
      <c r="E395">
        <f t="shared" si="78"/>
        <v>0</v>
      </c>
      <c r="F395">
        <f t="shared" si="78"/>
        <v>0</v>
      </c>
      <c r="G395">
        <f t="shared" si="78"/>
        <v>0</v>
      </c>
      <c r="H395">
        <f t="shared" si="78"/>
        <v>0</v>
      </c>
      <c r="I395">
        <f t="shared" si="78"/>
        <v>0</v>
      </c>
      <c r="J395">
        <f t="shared" si="78"/>
        <v>0</v>
      </c>
      <c r="K395">
        <f t="shared" si="78"/>
        <v>0</v>
      </c>
      <c r="L395">
        <f t="shared" si="78"/>
        <v>0</v>
      </c>
      <c r="M395">
        <f t="shared" si="75"/>
        <v>102.25</v>
      </c>
      <c r="P395">
        <f t="shared" si="76"/>
        <v>4.9000000000000004</v>
      </c>
      <c r="Q395">
        <v>0.8</v>
      </c>
      <c r="R395">
        <f t="shared" si="77"/>
        <v>99.951244869999215</v>
      </c>
      <c r="S395">
        <f t="shared" si="79"/>
        <v>1.8</v>
      </c>
      <c r="T395">
        <f t="shared" si="73"/>
        <v>101.75124486999921</v>
      </c>
      <c r="U395">
        <f t="shared" si="74"/>
        <v>0</v>
      </c>
      <c r="V395">
        <f t="shared" si="74"/>
        <v>0</v>
      </c>
      <c r="W395">
        <f t="shared" si="74"/>
        <v>0</v>
      </c>
      <c r="X395">
        <f t="shared" si="74"/>
        <v>0</v>
      </c>
      <c r="Y395">
        <f t="shared" si="74"/>
        <v>0</v>
      </c>
      <c r="Z395">
        <f t="shared" si="74"/>
        <v>0</v>
      </c>
      <c r="AA395">
        <f t="shared" si="74"/>
        <v>0</v>
      </c>
      <c r="AB395">
        <f t="shared" si="74"/>
        <v>0</v>
      </c>
      <c r="AC395">
        <f t="shared" si="74"/>
        <v>0</v>
      </c>
      <c r="AD395">
        <f t="shared" si="74"/>
        <v>0.99512219921759615</v>
      </c>
    </row>
    <row r="396" spans="2:30">
      <c r="B396">
        <v>4.9124999999999996</v>
      </c>
      <c r="D396">
        <f t="shared" si="71"/>
        <v>0</v>
      </c>
      <c r="E396">
        <f t="shared" si="78"/>
        <v>0</v>
      </c>
      <c r="F396">
        <f t="shared" si="78"/>
        <v>0</v>
      </c>
      <c r="G396">
        <f t="shared" si="78"/>
        <v>0</v>
      </c>
      <c r="H396">
        <f t="shared" si="78"/>
        <v>0</v>
      </c>
      <c r="I396">
        <f t="shared" si="78"/>
        <v>0</v>
      </c>
      <c r="J396">
        <f t="shared" si="78"/>
        <v>0</v>
      </c>
      <c r="K396">
        <f t="shared" si="78"/>
        <v>0</v>
      </c>
      <c r="L396">
        <f t="shared" si="78"/>
        <v>0</v>
      </c>
      <c r="M396">
        <f t="shared" si="75"/>
        <v>102.25</v>
      </c>
      <c r="P396">
        <f t="shared" si="76"/>
        <v>4.9124999999999996</v>
      </c>
      <c r="Q396">
        <v>0.82499999999999996</v>
      </c>
      <c r="R396">
        <f t="shared" si="77"/>
        <v>99.95720597196339</v>
      </c>
      <c r="S396">
        <f t="shared" si="79"/>
        <v>1.85625</v>
      </c>
      <c r="T396">
        <f t="shared" si="73"/>
        <v>101.81345597196339</v>
      </c>
      <c r="U396">
        <f t="shared" si="74"/>
        <v>0</v>
      </c>
      <c r="V396">
        <f t="shared" si="74"/>
        <v>0</v>
      </c>
      <c r="W396">
        <f t="shared" si="74"/>
        <v>0</v>
      </c>
      <c r="X396">
        <f t="shared" si="74"/>
        <v>0</v>
      </c>
      <c r="Y396">
        <f t="shared" si="74"/>
        <v>0</v>
      </c>
      <c r="Z396">
        <f t="shared" si="74"/>
        <v>0</v>
      </c>
      <c r="AA396">
        <f t="shared" si="74"/>
        <v>0</v>
      </c>
      <c r="AB396">
        <f t="shared" si="74"/>
        <v>0</v>
      </c>
      <c r="AC396">
        <f t="shared" si="74"/>
        <v>0</v>
      </c>
      <c r="AD396">
        <f t="shared" si="74"/>
        <v>0.99573062075269825</v>
      </c>
    </row>
    <row r="397" spans="2:30">
      <c r="B397">
        <v>4.9249999999999998</v>
      </c>
      <c r="D397">
        <f t="shared" si="71"/>
        <v>0</v>
      </c>
      <c r="E397">
        <f t="shared" si="78"/>
        <v>0</v>
      </c>
      <c r="F397">
        <f t="shared" si="78"/>
        <v>0</v>
      </c>
      <c r="G397">
        <f t="shared" si="78"/>
        <v>0</v>
      </c>
      <c r="H397">
        <f t="shared" si="78"/>
        <v>0</v>
      </c>
      <c r="I397">
        <f t="shared" si="78"/>
        <v>0</v>
      </c>
      <c r="J397">
        <f t="shared" si="78"/>
        <v>0</v>
      </c>
      <c r="K397">
        <f t="shared" si="78"/>
        <v>0</v>
      </c>
      <c r="L397">
        <f t="shared" si="78"/>
        <v>0</v>
      </c>
      <c r="M397">
        <f t="shared" si="75"/>
        <v>102.25</v>
      </c>
      <c r="P397">
        <f t="shared" si="76"/>
        <v>4.9249999999999998</v>
      </c>
      <c r="Q397">
        <v>0.85</v>
      </c>
      <c r="R397">
        <f t="shared" si="77"/>
        <v>99.963205110034309</v>
      </c>
      <c r="S397">
        <f t="shared" si="79"/>
        <v>1.9124999999999999</v>
      </c>
      <c r="T397">
        <f t="shared" si="73"/>
        <v>101.8757051100343</v>
      </c>
      <c r="U397">
        <f t="shared" si="74"/>
        <v>0</v>
      </c>
      <c r="V397">
        <f t="shared" si="74"/>
        <v>0</v>
      </c>
      <c r="W397">
        <f t="shared" si="74"/>
        <v>0</v>
      </c>
      <c r="X397">
        <f t="shared" si="74"/>
        <v>0</v>
      </c>
      <c r="Y397">
        <f t="shared" si="74"/>
        <v>0</v>
      </c>
      <c r="Z397">
        <f t="shared" si="74"/>
        <v>0</v>
      </c>
      <c r="AA397">
        <f t="shared" si="74"/>
        <v>0</v>
      </c>
      <c r="AB397">
        <f t="shared" si="74"/>
        <v>0</v>
      </c>
      <c r="AC397">
        <f t="shared" si="74"/>
        <v>0</v>
      </c>
      <c r="AD397">
        <f t="shared" si="74"/>
        <v>0.99633941427906403</v>
      </c>
    </row>
    <row r="398" spans="2:30">
      <c r="B398">
        <v>4.9375</v>
      </c>
      <c r="D398">
        <f t="shared" si="71"/>
        <v>0</v>
      </c>
      <c r="E398">
        <f t="shared" si="78"/>
        <v>0</v>
      </c>
      <c r="F398">
        <f t="shared" si="78"/>
        <v>0</v>
      </c>
      <c r="G398">
        <f t="shared" si="78"/>
        <v>0</v>
      </c>
      <c r="H398">
        <f t="shared" si="78"/>
        <v>0</v>
      </c>
      <c r="I398">
        <f t="shared" si="78"/>
        <v>0</v>
      </c>
      <c r="J398">
        <f t="shared" si="78"/>
        <v>0</v>
      </c>
      <c r="K398">
        <f t="shared" si="78"/>
        <v>0</v>
      </c>
      <c r="L398">
        <f t="shared" si="78"/>
        <v>0</v>
      </c>
      <c r="M398">
        <f t="shared" si="75"/>
        <v>102.25</v>
      </c>
      <c r="P398">
        <f t="shared" si="76"/>
        <v>4.9375</v>
      </c>
      <c r="Q398">
        <v>0.875</v>
      </c>
      <c r="R398">
        <f t="shared" si="77"/>
        <v>99.969242307467326</v>
      </c>
      <c r="S398">
        <f t="shared" si="79"/>
        <v>1.96875</v>
      </c>
      <c r="T398">
        <f t="shared" si="73"/>
        <v>101.93799230746733</v>
      </c>
      <c r="U398">
        <f t="shared" si="74"/>
        <v>0</v>
      </c>
      <c r="V398">
        <f t="shared" si="74"/>
        <v>0</v>
      </c>
      <c r="W398">
        <f t="shared" si="74"/>
        <v>0</v>
      </c>
      <c r="X398">
        <f t="shared" si="74"/>
        <v>0</v>
      </c>
      <c r="Y398">
        <f t="shared" si="74"/>
        <v>0</v>
      </c>
      <c r="Z398">
        <f t="shared" si="74"/>
        <v>0</v>
      </c>
      <c r="AA398">
        <f t="shared" si="74"/>
        <v>0</v>
      </c>
      <c r="AB398">
        <f t="shared" si="74"/>
        <v>0</v>
      </c>
      <c r="AC398">
        <f t="shared" si="74"/>
        <v>0</v>
      </c>
      <c r="AD398">
        <f t="shared" si="74"/>
        <v>0.99694858002413034</v>
      </c>
    </row>
    <row r="399" spans="2:30">
      <c r="B399">
        <v>4.95</v>
      </c>
      <c r="D399">
        <f t="shared" si="71"/>
        <v>0</v>
      </c>
      <c r="E399">
        <f t="shared" si="78"/>
        <v>0</v>
      </c>
      <c r="F399">
        <f t="shared" si="78"/>
        <v>0</v>
      </c>
      <c r="G399">
        <f t="shared" si="78"/>
        <v>0</v>
      </c>
      <c r="H399">
        <f t="shared" si="78"/>
        <v>0</v>
      </c>
      <c r="I399">
        <f t="shared" si="78"/>
        <v>0</v>
      </c>
      <c r="J399">
        <f t="shared" si="78"/>
        <v>0</v>
      </c>
      <c r="K399">
        <f t="shared" si="78"/>
        <v>0</v>
      </c>
      <c r="L399">
        <f t="shared" si="78"/>
        <v>0</v>
      </c>
      <c r="M399">
        <f t="shared" si="75"/>
        <v>102.25</v>
      </c>
      <c r="P399">
        <f t="shared" si="76"/>
        <v>4.95</v>
      </c>
      <c r="Q399">
        <v>0.9</v>
      </c>
      <c r="R399">
        <f t="shared" si="77"/>
        <v>99.975317587532132</v>
      </c>
      <c r="S399">
        <f t="shared" si="79"/>
        <v>2.0249999999999999</v>
      </c>
      <c r="T399">
        <f t="shared" si="73"/>
        <v>102.00031758753214</v>
      </c>
      <c r="U399">
        <f t="shared" si="74"/>
        <v>0</v>
      </c>
      <c r="V399">
        <f t="shared" si="74"/>
        <v>0</v>
      </c>
      <c r="W399">
        <f t="shared" si="74"/>
        <v>0</v>
      </c>
      <c r="X399">
        <f t="shared" si="74"/>
        <v>0</v>
      </c>
      <c r="Y399">
        <f t="shared" si="74"/>
        <v>0</v>
      </c>
      <c r="Z399">
        <f t="shared" si="74"/>
        <v>0</v>
      </c>
      <c r="AA399">
        <f t="shared" si="74"/>
        <v>0</v>
      </c>
      <c r="AB399">
        <f t="shared" si="74"/>
        <v>0</v>
      </c>
      <c r="AC399">
        <f t="shared" si="74"/>
        <v>0</v>
      </c>
      <c r="AD399">
        <f t="shared" si="74"/>
        <v>0.99755811821547324</v>
      </c>
    </row>
    <row r="400" spans="2:30">
      <c r="B400">
        <v>4.9625000000000004</v>
      </c>
      <c r="D400">
        <f t="shared" si="71"/>
        <v>0</v>
      </c>
      <c r="E400">
        <f t="shared" si="78"/>
        <v>0</v>
      </c>
      <c r="F400">
        <f t="shared" si="78"/>
        <v>0</v>
      </c>
      <c r="G400">
        <f t="shared" si="78"/>
        <v>0</v>
      </c>
      <c r="H400">
        <f t="shared" si="78"/>
        <v>0</v>
      </c>
      <c r="I400">
        <f t="shared" si="78"/>
        <v>0</v>
      </c>
      <c r="J400">
        <f t="shared" si="78"/>
        <v>0</v>
      </c>
      <c r="K400">
        <f t="shared" si="78"/>
        <v>0</v>
      </c>
      <c r="L400">
        <f t="shared" si="78"/>
        <v>0</v>
      </c>
      <c r="M400">
        <f t="shared" si="75"/>
        <v>102.25</v>
      </c>
      <c r="P400">
        <f t="shared" si="76"/>
        <v>4.9625000000000004</v>
      </c>
      <c r="Q400">
        <v>0.92500000000000004</v>
      </c>
      <c r="R400">
        <f t="shared" si="77"/>
        <v>99.981430973512587</v>
      </c>
      <c r="S400">
        <f t="shared" si="79"/>
        <v>2.0812500000000003</v>
      </c>
      <c r="T400">
        <f t="shared" si="73"/>
        <v>102.06268097351258</v>
      </c>
      <c r="U400">
        <f t="shared" si="74"/>
        <v>0</v>
      </c>
      <c r="V400">
        <f t="shared" si="74"/>
        <v>0</v>
      </c>
      <c r="W400">
        <f t="shared" si="74"/>
        <v>0</v>
      </c>
      <c r="X400">
        <f t="shared" si="74"/>
        <v>0</v>
      </c>
      <c r="Y400">
        <f t="shared" si="74"/>
        <v>0</v>
      </c>
      <c r="Z400">
        <f t="shared" si="74"/>
        <v>0</v>
      </c>
      <c r="AA400">
        <f t="shared" si="74"/>
        <v>0</v>
      </c>
      <c r="AB400">
        <f t="shared" si="74"/>
        <v>0</v>
      </c>
      <c r="AC400">
        <f t="shared" si="74"/>
        <v>0</v>
      </c>
      <c r="AD400">
        <f t="shared" si="74"/>
        <v>0.99816802908080771</v>
      </c>
    </row>
    <row r="401" spans="2:30">
      <c r="B401">
        <v>4.9749999999999996</v>
      </c>
      <c r="D401">
        <f t="shared" si="71"/>
        <v>0</v>
      </c>
      <c r="E401">
        <f t="shared" si="78"/>
        <v>0</v>
      </c>
      <c r="F401">
        <f t="shared" si="78"/>
        <v>0</v>
      </c>
      <c r="G401">
        <f t="shared" si="78"/>
        <v>0</v>
      </c>
      <c r="H401">
        <f t="shared" si="78"/>
        <v>0</v>
      </c>
      <c r="I401">
        <f t="shared" si="78"/>
        <v>0</v>
      </c>
      <c r="J401">
        <f t="shared" si="78"/>
        <v>0</v>
      </c>
      <c r="K401">
        <f t="shared" si="78"/>
        <v>0</v>
      </c>
      <c r="L401">
        <f t="shared" si="78"/>
        <v>0</v>
      </c>
      <c r="M401">
        <f t="shared" si="75"/>
        <v>102.25</v>
      </c>
      <c r="P401">
        <f t="shared" si="76"/>
        <v>4.9749999999999996</v>
      </c>
      <c r="Q401">
        <v>0.95</v>
      </c>
      <c r="R401">
        <f t="shared" si="77"/>
        <v>99.987582488706764</v>
      </c>
      <c r="S401">
        <f t="shared" si="79"/>
        <v>2.1374999999999997</v>
      </c>
      <c r="T401">
        <f t="shared" si="73"/>
        <v>102.12508248870677</v>
      </c>
      <c r="U401">
        <f t="shared" si="74"/>
        <v>0</v>
      </c>
      <c r="V401">
        <f t="shared" si="74"/>
        <v>0</v>
      </c>
      <c r="W401">
        <f t="shared" si="74"/>
        <v>0</v>
      </c>
      <c r="X401">
        <f t="shared" si="74"/>
        <v>0</v>
      </c>
      <c r="Y401">
        <f t="shared" si="74"/>
        <v>0</v>
      </c>
      <c r="Z401">
        <f t="shared" si="74"/>
        <v>0</v>
      </c>
      <c r="AA401">
        <f t="shared" si="74"/>
        <v>0</v>
      </c>
      <c r="AB401">
        <f t="shared" si="74"/>
        <v>0</v>
      </c>
      <c r="AC401">
        <f t="shared" si="74"/>
        <v>0</v>
      </c>
      <c r="AD401">
        <f t="shared" si="74"/>
        <v>0.9987783128479879</v>
      </c>
    </row>
    <row r="402" spans="2:30">
      <c r="B402">
        <v>4.9874999999999998</v>
      </c>
      <c r="D402">
        <f t="shared" si="71"/>
        <v>0</v>
      </c>
      <c r="E402">
        <f t="shared" si="78"/>
        <v>0</v>
      </c>
      <c r="F402">
        <f t="shared" si="78"/>
        <v>0</v>
      </c>
      <c r="G402">
        <f t="shared" si="78"/>
        <v>0</v>
      </c>
      <c r="H402">
        <f t="shared" si="78"/>
        <v>0</v>
      </c>
      <c r="I402">
        <f t="shared" si="78"/>
        <v>0</v>
      </c>
      <c r="J402">
        <f t="shared" si="78"/>
        <v>0</v>
      </c>
      <c r="K402">
        <f t="shared" si="78"/>
        <v>0</v>
      </c>
      <c r="L402">
        <f t="shared" si="78"/>
        <v>0</v>
      </c>
      <c r="M402">
        <f t="shared" si="75"/>
        <v>102.25</v>
      </c>
      <c r="P402">
        <f t="shared" si="76"/>
        <v>4.9874999999999998</v>
      </c>
      <c r="Q402">
        <v>0.97499999999999998</v>
      </c>
      <c r="R402">
        <f t="shared" si="77"/>
        <v>99.993772156427056</v>
      </c>
      <c r="S402">
        <f t="shared" si="79"/>
        <v>2.1937500000000001</v>
      </c>
      <c r="T402">
        <f t="shared" si="73"/>
        <v>102.18752215642705</v>
      </c>
      <c r="U402">
        <f t="shared" si="74"/>
        <v>0</v>
      </c>
      <c r="V402">
        <f t="shared" si="74"/>
        <v>0</v>
      </c>
      <c r="W402">
        <f t="shared" si="74"/>
        <v>0</v>
      </c>
      <c r="X402">
        <f t="shared" si="74"/>
        <v>0</v>
      </c>
      <c r="Y402">
        <f t="shared" si="74"/>
        <v>0</v>
      </c>
      <c r="Z402">
        <f t="shared" si="74"/>
        <v>0</v>
      </c>
      <c r="AA402">
        <f t="shared" si="74"/>
        <v>0</v>
      </c>
      <c r="AB402">
        <f t="shared" si="74"/>
        <v>0</v>
      </c>
      <c r="AC402">
        <f t="shared" si="74"/>
        <v>0</v>
      </c>
      <c r="AD402">
        <f t="shared" si="74"/>
        <v>0.99938896974500779</v>
      </c>
    </row>
    <row r="403" spans="2:30">
      <c r="B403">
        <v>5</v>
      </c>
      <c r="D403">
        <f t="shared" si="71"/>
        <v>0</v>
      </c>
      <c r="E403">
        <f t="shared" si="78"/>
        <v>0</v>
      </c>
      <c r="F403">
        <f t="shared" si="78"/>
        <v>0</v>
      </c>
      <c r="G403">
        <f t="shared" si="78"/>
        <v>0</v>
      </c>
      <c r="H403">
        <f t="shared" si="78"/>
        <v>0</v>
      </c>
      <c r="I403">
        <f t="shared" si="78"/>
        <v>0</v>
      </c>
      <c r="J403">
        <f t="shared" si="78"/>
        <v>0</v>
      </c>
      <c r="K403">
        <f t="shared" si="78"/>
        <v>0</v>
      </c>
      <c r="L403">
        <f t="shared" si="78"/>
        <v>0</v>
      </c>
      <c r="M403">
        <f t="shared" si="75"/>
        <v>102.25</v>
      </c>
      <c r="P403">
        <f t="shared" si="76"/>
        <v>5</v>
      </c>
      <c r="Q403">
        <v>1</v>
      </c>
      <c r="R403">
        <f t="shared" si="77"/>
        <v>100</v>
      </c>
      <c r="S403">
        <f t="shared" si="79"/>
        <v>2.25</v>
      </c>
      <c r="T403">
        <f t="shared" si="73"/>
        <v>102.25</v>
      </c>
      <c r="U403">
        <f t="shared" ref="U403:AD403" si="80">IF((1/(1+$O$3/2)^((U$2-$P403)*2))&lt;=1,1/(1+$O$3/2)^((U$2-$P403)*2),0)</f>
        <v>0</v>
      </c>
      <c r="V403">
        <f t="shared" si="80"/>
        <v>0</v>
      </c>
      <c r="W403">
        <f t="shared" si="80"/>
        <v>0</v>
      </c>
      <c r="X403">
        <f t="shared" si="80"/>
        <v>0</v>
      </c>
      <c r="Y403">
        <f t="shared" si="80"/>
        <v>0</v>
      </c>
      <c r="Z403">
        <f t="shared" si="80"/>
        <v>0</v>
      </c>
      <c r="AA403">
        <f t="shared" si="80"/>
        <v>0</v>
      </c>
      <c r="AB403">
        <f t="shared" si="80"/>
        <v>0</v>
      </c>
      <c r="AC403">
        <f t="shared" si="80"/>
        <v>0</v>
      </c>
      <c r="AD403">
        <f t="shared" si="80"/>
        <v>1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6A6DE5-8918-4559-BAAF-DDB3422198FF}">
  <sheetPr>
    <tabColor rgb="FFFFFF00"/>
  </sheetPr>
  <dimension ref="A1:K25"/>
  <sheetViews>
    <sheetView zoomScale="70" zoomScaleNormal="70" workbookViewId="0">
      <selection activeCell="C17" sqref="C17:E25"/>
    </sheetView>
  </sheetViews>
  <sheetFormatPr defaultRowHeight="28.5"/>
  <cols>
    <col min="3" max="3" width="11.19921875" bestFit="1" customWidth="1"/>
    <col min="5" max="5" width="14.19921875" bestFit="1" customWidth="1"/>
    <col min="8" max="8" width="10.59765625" bestFit="1" customWidth="1"/>
    <col min="9" max="9" width="15.6640625" customWidth="1"/>
    <col min="10" max="10" width="15.796875" customWidth="1"/>
  </cols>
  <sheetData>
    <row r="1" spans="1:11">
      <c r="A1" t="s">
        <v>122</v>
      </c>
    </row>
    <row r="2" spans="1:11">
      <c r="E2" s="22" t="s">
        <v>71</v>
      </c>
    </row>
    <row r="3" spans="1:11">
      <c r="E3" s="22" t="s">
        <v>72</v>
      </c>
      <c r="F3" s="3">
        <v>3.7499999999999999E-2</v>
      </c>
      <c r="G3" t="s">
        <v>73</v>
      </c>
    </row>
    <row r="4" spans="1:11">
      <c r="E4" s="22" t="s">
        <v>74</v>
      </c>
      <c r="F4">
        <v>100</v>
      </c>
    </row>
    <row r="6" spans="1:11">
      <c r="B6" s="8" t="s">
        <v>75</v>
      </c>
      <c r="C6" s="8" t="s">
        <v>90</v>
      </c>
      <c r="D6" s="8" t="s">
        <v>77</v>
      </c>
      <c r="E6" s="32" t="s">
        <v>93</v>
      </c>
      <c r="F6" s="8" t="s">
        <v>94</v>
      </c>
      <c r="G6" s="8" t="s">
        <v>78</v>
      </c>
      <c r="H6" s="8" t="s">
        <v>123</v>
      </c>
      <c r="I6" s="8" t="s">
        <v>124</v>
      </c>
      <c r="J6" s="8" t="s">
        <v>125</v>
      </c>
    </row>
    <row r="7" spans="1:11">
      <c r="B7" s="4">
        <v>1</v>
      </c>
      <c r="C7" s="9">
        <f>'Your &amp; cons term structure'!L8</f>
        <v>4.4259482289524636E-2</v>
      </c>
      <c r="D7" s="7">
        <f>1/(1+C7)</f>
        <v>0.9576163941624104</v>
      </c>
      <c r="E7" s="14"/>
      <c r="F7" s="4"/>
      <c r="G7" s="4">
        <f>F4*F3</f>
        <v>3.75</v>
      </c>
      <c r="H7" s="12">
        <f>G7*D7</f>
        <v>3.5910614781090389</v>
      </c>
      <c r="I7" s="56"/>
      <c r="J7" s="58"/>
    </row>
    <row r="8" spans="1:11">
      <c r="B8" s="6">
        <v>2</v>
      </c>
      <c r="C8" s="10">
        <f>'Your &amp; cons term structure'!L9</f>
        <v>4.5180834547453412E-2</v>
      </c>
      <c r="D8" s="11">
        <f>1/(1+C8)^B8</f>
        <v>0.91541310408446408</v>
      </c>
      <c r="E8" s="15"/>
      <c r="F8" s="6"/>
      <c r="G8" s="6">
        <f>F4+F4*F3</f>
        <v>103.75</v>
      </c>
      <c r="H8" s="13">
        <f>G8*D8</f>
        <v>94.974109548763153</v>
      </c>
      <c r="I8" s="57"/>
      <c r="J8" s="59"/>
    </row>
    <row r="9" spans="1:11">
      <c r="B9" s="4"/>
      <c r="C9" s="4"/>
      <c r="D9" s="4"/>
      <c r="E9" s="4"/>
      <c r="F9" s="4"/>
      <c r="G9" s="4"/>
      <c r="H9" s="12">
        <f>SUM(H7:H8)</f>
        <v>98.565171026872193</v>
      </c>
      <c r="I9" s="22" t="s">
        <v>126</v>
      </c>
      <c r="J9" s="63"/>
      <c r="K9" t="s">
        <v>127</v>
      </c>
    </row>
    <row r="10" spans="1:11">
      <c r="G10" s="22" t="s">
        <v>82</v>
      </c>
      <c r="H10" s="61">
        <f>RATE(2,G7,-H9,F4)</f>
        <v>4.5163739279022556E-2</v>
      </c>
      <c r="I10" s="22" t="s">
        <v>128</v>
      </c>
      <c r="J10" s="63"/>
      <c r="K10" t="s">
        <v>129</v>
      </c>
    </row>
    <row r="11" spans="1:11">
      <c r="I11" s="22" t="s">
        <v>130</v>
      </c>
      <c r="J11" s="63"/>
      <c r="K11" t="s">
        <v>131</v>
      </c>
    </row>
    <row r="12" spans="1:11">
      <c r="I12" s="22" t="s">
        <v>132</v>
      </c>
      <c r="J12" s="40"/>
      <c r="K12" t="s">
        <v>133</v>
      </c>
    </row>
    <row r="13" spans="1:11">
      <c r="I13" s="22" t="s">
        <v>134</v>
      </c>
      <c r="J13" s="41"/>
    </row>
    <row r="14" spans="1:11">
      <c r="B14" s="22" t="s">
        <v>72</v>
      </c>
      <c r="C14" s="3">
        <v>3.7499999999999999E-2</v>
      </c>
      <c r="D14" s="3">
        <v>3.7499999999999999E-2</v>
      </c>
      <c r="E14" s="3">
        <v>3.7499999999999999E-2</v>
      </c>
    </row>
    <row r="15" spans="1:11">
      <c r="B15" s="22" t="s">
        <v>135</v>
      </c>
      <c r="C15">
        <v>2</v>
      </c>
      <c r="D15">
        <v>1</v>
      </c>
      <c r="E15">
        <v>1.0000000000000001E-5</v>
      </c>
    </row>
    <row r="16" spans="1:11">
      <c r="B16" s="19" t="s">
        <v>136</v>
      </c>
      <c r="C16" s="19" t="str">
        <f>"Value "&amp;C15&amp;"-year"</f>
        <v>Value 2-year</v>
      </c>
      <c r="D16" s="19" t="str">
        <f t="shared" ref="D16" si="0">"Value "&amp;D15&amp;"-year"</f>
        <v>Value 1-year</v>
      </c>
      <c r="E16" s="19" t="s">
        <v>137</v>
      </c>
    </row>
    <row r="17" spans="2:5">
      <c r="B17" s="64">
        <v>0.01</v>
      </c>
      <c r="C17" s="62"/>
      <c r="D17" s="62"/>
      <c r="E17" s="62"/>
    </row>
    <row r="18" spans="2:5">
      <c r="B18" s="64">
        <v>0.02</v>
      </c>
      <c r="C18" s="62"/>
      <c r="D18" s="62"/>
      <c r="E18" s="62"/>
    </row>
    <row r="19" spans="2:5">
      <c r="B19" s="64">
        <v>0.03</v>
      </c>
      <c r="C19" s="62"/>
      <c r="D19" s="62"/>
      <c r="E19" s="62"/>
    </row>
    <row r="20" spans="2:5">
      <c r="B20" s="64">
        <v>0.04</v>
      </c>
      <c r="C20" s="62"/>
      <c r="D20" s="62"/>
      <c r="E20" s="62"/>
    </row>
    <row r="21" spans="2:5">
      <c r="B21" s="64">
        <v>0.05</v>
      </c>
      <c r="C21" s="62"/>
      <c r="D21" s="62"/>
      <c r="E21" s="62"/>
    </row>
    <row r="22" spans="2:5">
      <c r="B22" s="64">
        <v>0.06</v>
      </c>
      <c r="C22" s="62"/>
      <c r="D22" s="62"/>
      <c r="E22" s="62"/>
    </row>
    <row r="23" spans="2:5">
      <c r="B23" s="64">
        <v>7.0000000000000007E-2</v>
      </c>
      <c r="C23" s="62"/>
      <c r="D23" s="62"/>
      <c r="E23" s="62"/>
    </row>
    <row r="24" spans="2:5">
      <c r="B24" s="64">
        <v>0.08</v>
      </c>
      <c r="C24" s="62"/>
      <c r="D24" s="62"/>
      <c r="E24" s="62"/>
    </row>
    <row r="25" spans="2:5">
      <c r="B25" s="64">
        <v>0.09</v>
      </c>
      <c r="C25" s="62"/>
      <c r="D25" s="62"/>
      <c r="E25" s="62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7f511eb-c32b-4efb-982c-e864c32095f1" xsi:nil="true"/>
    <lcf76f155ced4ddcb4097134ff3c332f xmlns="ea4c7409-ad92-434b-a88e-71f88e54fb3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F5E90542A1FE445B32D88FA21EB2AB6" ma:contentTypeVersion="11" ma:contentTypeDescription="Create a new document." ma:contentTypeScope="" ma:versionID="b8f11337534b67c3895bf6adf122dc82">
  <xsd:schema xmlns:xsd="http://www.w3.org/2001/XMLSchema" xmlns:xs="http://www.w3.org/2001/XMLSchema" xmlns:p="http://schemas.microsoft.com/office/2006/metadata/properties" xmlns:ns2="ea4c7409-ad92-434b-a88e-71f88e54fb3d" xmlns:ns3="e7f511eb-c32b-4efb-982c-e864c32095f1" targetNamespace="http://schemas.microsoft.com/office/2006/metadata/properties" ma:root="true" ma:fieldsID="dfd6a8a6194747f6f883c7e88107d665" ns2:_="" ns3:_="">
    <xsd:import namespace="ea4c7409-ad92-434b-a88e-71f88e54fb3d"/>
    <xsd:import namespace="e7f511eb-c32b-4efb-982c-e864c32095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4c7409-ad92-434b-a88e-71f88e54fb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5f70da25-28e4-4112-8120-118e42e9716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f511eb-c32b-4efb-982c-e864c32095f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da19941a-a034-431e-84d4-3b222b990d81}" ma:internalName="TaxCatchAll" ma:showField="CatchAllData" ma:web="e7f511eb-c32b-4efb-982c-e864c32095f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046693-F7B8-43A5-87C9-F12C74B7C7A8}"/>
</file>

<file path=customXml/itemProps2.xml><?xml version="1.0" encoding="utf-8"?>
<ds:datastoreItem xmlns:ds="http://schemas.openxmlformats.org/officeDocument/2006/customXml" ds:itemID="{08184B9E-2BF2-4E69-8CB2-41D49BD99428}"/>
</file>

<file path=customXml/itemProps3.xml><?xml version="1.0" encoding="utf-8"?>
<ds:datastoreItem xmlns:ds="http://schemas.openxmlformats.org/officeDocument/2006/customXml" ds:itemID="{79CE804B-E857-4F6C-87C6-72A5FBEF34C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Fitch Ratings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Graham, Neil</dc:creator>
  <cp:keywords/>
  <dc:description/>
  <cp:lastModifiedBy>daCosta, Banke (AM, GBR)</cp:lastModifiedBy>
  <cp:revision/>
  <dcterms:created xsi:type="dcterms:W3CDTF">2024-09-12T13:34:09Z</dcterms:created>
  <dcterms:modified xsi:type="dcterms:W3CDTF">2025-04-02T15:48:40Z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0x010100AF5E90542A1FE445B32D88FA21EB2AB6</vt:lpwstr>
  </property>
  <property fmtid="{D5CDD505-2E9C-101B-9397-08002B2CF9AE}" pid="3" name="MediaServiceImageTags">
    <vt:lpwstr/>
  </property>
</Properties>
</file>