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autoCompressPictures="0"/>
  <xr:revisionPtr revIDLastSave="0" documentId="8_{FED50775-E40C-4874-B561-D19D68613081}" xr6:coauthVersionLast="47" xr6:coauthVersionMax="47" xr10:uidLastSave="{00000000-0000-0000-0000-000000000000}"/>
  <bookViews>
    <workbookView xWindow="-120" yWindow="-120" windowWidth="38640" windowHeight="21240" xr2:uid="{00000000-000D-0000-FFFF-FFFF00000000}"/>
  </bookViews>
  <sheets>
    <sheet name="2025 Calendar" sheetId="1" r:id="rId1"/>
    <sheet name="2026 Calendar" sheetId="5" r:id="rId2"/>
    <sheet name="Redemption Day Simulation" sheetId="3" r:id="rId3"/>
    <sheet name="Holiday Calendar" sheetId="6" state="hidden" r:id="rId4"/>
    <sheet name="Currency Holiday Calendar" sheetId="7" state="hidden" r:id="rId5"/>
  </sheets>
  <definedNames>
    <definedName name="_xlnm._FilterDatabase" localSheetId="4" hidden="1">'Currency Holiday Calendar'!$A$3:$C$3</definedName>
    <definedName name="_xlnm._FilterDatabase" localSheetId="3" hidden="1">'Holiday Calendar'!$A$2:$C$2</definedName>
    <definedName name="AprSun1" localSheetId="1">DATE('2026 Calendar'!CalendarYear,4,1)-WEEKDAY(DATE('2026 Calendar'!CalendarYear,4,1))+1</definedName>
    <definedName name="AprSun1">DATE(CalendarYear,4,1)-WEEKDAY(DATE(CalendarYear,4,1))+1</definedName>
    <definedName name="AugSun1" localSheetId="1">DATE('2026 Calendar'!CalendarYear,8,1)-WEEKDAY(DATE('2026 Calendar'!CalendarYear,8,1))+1</definedName>
    <definedName name="AugSun1">DATE(CalendarYear,8,1)-WEEKDAY(DATE(CalendarYear,8,1))+1</definedName>
    <definedName name="CalendarYear" localSheetId="1">'2026 Calendar'!$V$2</definedName>
    <definedName name="CalendarYear">'2025 Calendar'!$V$2</definedName>
    <definedName name="DecSun1" localSheetId="1">DATE('2026 Calendar'!CalendarYear,12,1)-WEEKDAY(DATE('2026 Calendar'!CalendarYear,12,1))+1</definedName>
    <definedName name="DecSun1">DATE(CalendarYear,12,1)-WEEKDAY(DATE(CalendarYear,12,1))+1</definedName>
    <definedName name="FebSun1" localSheetId="1">DATE('2026 Calendar'!CalendarYear,2,1)-WEEKDAY(DATE('2026 Calendar'!CalendarYear,2,1))+1</definedName>
    <definedName name="FebSun1">DATE(CalendarYear,2,1)-WEEKDAY(DATE(CalendarYear,2,1))+1</definedName>
    <definedName name="JanSun1" localSheetId="1">DATE('2026 Calendar'!CalendarYear,1,1)-WEEKDAY(DATE('2026 Calendar'!CalendarYear,1,1))+1</definedName>
    <definedName name="JanSun1">DATE(CalendarYear,1,1)-WEEKDAY(DATE(CalendarYear,1,1))+1</definedName>
    <definedName name="JulSun1" localSheetId="1">DATE('2026 Calendar'!CalendarYear,7,1)-WEEKDAY(DATE('2026 Calendar'!CalendarYear,7,1))+1</definedName>
    <definedName name="JulSun1">DATE(CalendarYear,7,1)-WEEKDAY(DATE(CalendarYear,7,1))+1</definedName>
    <definedName name="JunSun1" localSheetId="1">DATE('2026 Calendar'!CalendarYear,6,1)-WEEKDAY(DATE('2026 Calendar'!CalendarYear,6,1))+1</definedName>
    <definedName name="JunSun1">DATE(CalendarYear,6,1)-WEEKDAY(DATE(CalendarYear,6,1))+1</definedName>
    <definedName name="MarSun1" localSheetId="1">DATE('2026 Calendar'!CalendarYear,3,1)-WEEKDAY(DATE('2026 Calendar'!CalendarYear,3,1))+1</definedName>
    <definedName name="MarSun1">DATE(CalendarYear,3,1)-WEEKDAY(DATE(CalendarYear,3,1))+1</definedName>
    <definedName name="MaySun1" localSheetId="1">DATE('2026 Calendar'!CalendarYear,5,1)-WEEKDAY(DATE('2026 Calendar'!CalendarYear,5,1))+1</definedName>
    <definedName name="MaySun1">DATE(CalendarYear,5,1)-WEEKDAY(DATE(CalendarYear,5,1))+1</definedName>
    <definedName name="NovSun1" localSheetId="1">DATE('2026 Calendar'!CalendarYear,11,1)-WEEKDAY(DATE('2026 Calendar'!CalendarYear,11,1))+1</definedName>
    <definedName name="NovSun1">DATE(CalendarYear,11,1)-WEEKDAY(DATE(CalendarYear,11,1))+1</definedName>
    <definedName name="OctSun1" localSheetId="1">DATE('2026 Calendar'!CalendarYear,10,1)-WEEKDAY(DATE('2026 Calendar'!CalendarYear,10,1))+1</definedName>
    <definedName name="OctSun1">DATE(CalendarYear,10,1)-WEEKDAY(DATE(CalendarYear,10,1))+1</definedName>
    <definedName name="_xlnm.Print_Area" localSheetId="0">'2025 Calendar'!$B$2:$V$39</definedName>
    <definedName name="_xlnm.Print_Area" localSheetId="1">'2026 Calendar'!$B$2:$V$39</definedName>
    <definedName name="SepSun1" localSheetId="1">DATE('2026 Calendar'!CalendarYear,9,1)-WEEKDAY(DATE('2026 Calendar'!CalendarYear,9,1))+1</definedName>
    <definedName name="SepSun1">DATE(CalendarYear,9,1)-WEEKDAY(DATE(CalendarYear,9,1))+1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T25" i="5"/>
  <c r="U25" i="1"/>
  <c r="E10" i="5"/>
  <c r="D5" i="3"/>
  <c r="D6" i="3" s="1"/>
  <c r="D9" i="3"/>
  <c r="D10" i="3" s="1"/>
  <c r="D11" i="3" s="1"/>
  <c r="Y35" i="5"/>
  <c r="X35" i="5"/>
  <c r="W35" i="5"/>
  <c r="V35" i="5"/>
  <c r="U35" i="5"/>
  <c r="T35" i="5"/>
  <c r="S35" i="5"/>
  <c r="Q35" i="5"/>
  <c r="P35" i="5"/>
  <c r="O35" i="5"/>
  <c r="N35" i="5"/>
  <c r="M35" i="5"/>
  <c r="L35" i="5"/>
  <c r="K35" i="5"/>
  <c r="I35" i="5"/>
  <c r="H35" i="5"/>
  <c r="G35" i="5"/>
  <c r="F35" i="5"/>
  <c r="E35" i="5"/>
  <c r="D35" i="5"/>
  <c r="C35" i="5"/>
  <c r="Y34" i="5"/>
  <c r="X34" i="5"/>
  <c r="W34" i="5"/>
  <c r="V34" i="5"/>
  <c r="U34" i="5"/>
  <c r="T34" i="5"/>
  <c r="S34" i="5"/>
  <c r="Q34" i="5"/>
  <c r="P34" i="5"/>
  <c r="O34" i="5"/>
  <c r="N34" i="5"/>
  <c r="M34" i="5"/>
  <c r="L34" i="5"/>
  <c r="K34" i="5"/>
  <c r="I34" i="5"/>
  <c r="H34" i="5"/>
  <c r="G34" i="5"/>
  <c r="F34" i="5"/>
  <c r="E34" i="5"/>
  <c r="D34" i="5"/>
  <c r="C34" i="5"/>
  <c r="Y33" i="5"/>
  <c r="X33" i="5"/>
  <c r="W33" i="5"/>
  <c r="V33" i="5"/>
  <c r="U33" i="5"/>
  <c r="T33" i="5"/>
  <c r="S33" i="5"/>
  <c r="Q33" i="5"/>
  <c r="P33" i="5"/>
  <c r="O33" i="5"/>
  <c r="N33" i="5"/>
  <c r="M33" i="5"/>
  <c r="L33" i="5"/>
  <c r="K33" i="5"/>
  <c r="I33" i="5"/>
  <c r="H33" i="5"/>
  <c r="G33" i="5"/>
  <c r="F33" i="5"/>
  <c r="E33" i="5"/>
  <c r="D33" i="5"/>
  <c r="C33" i="5"/>
  <c r="Y32" i="5"/>
  <c r="X32" i="5"/>
  <c r="W32" i="5"/>
  <c r="V32" i="5"/>
  <c r="U32" i="5"/>
  <c r="T32" i="5"/>
  <c r="S32" i="5"/>
  <c r="Q32" i="5"/>
  <c r="P32" i="5"/>
  <c r="O32" i="5"/>
  <c r="N32" i="5"/>
  <c r="M32" i="5"/>
  <c r="L32" i="5"/>
  <c r="K32" i="5"/>
  <c r="I32" i="5"/>
  <c r="H32" i="5"/>
  <c r="G32" i="5"/>
  <c r="F32" i="5"/>
  <c r="E32" i="5"/>
  <c r="D32" i="5"/>
  <c r="C32" i="5"/>
  <c r="Y31" i="5"/>
  <c r="X31" i="5"/>
  <c r="W31" i="5"/>
  <c r="V31" i="5"/>
  <c r="U31" i="5"/>
  <c r="T31" i="5"/>
  <c r="S31" i="5"/>
  <c r="Q31" i="5"/>
  <c r="P31" i="5"/>
  <c r="O31" i="5"/>
  <c r="N31" i="5"/>
  <c r="M31" i="5"/>
  <c r="L31" i="5"/>
  <c r="K31" i="5"/>
  <c r="I31" i="5"/>
  <c r="H31" i="5"/>
  <c r="G31" i="5"/>
  <c r="F31" i="5"/>
  <c r="E31" i="5"/>
  <c r="D31" i="5"/>
  <c r="C31" i="5"/>
  <c r="Y30" i="5"/>
  <c r="X30" i="5"/>
  <c r="W30" i="5"/>
  <c r="V30" i="5"/>
  <c r="U30" i="5"/>
  <c r="T30" i="5"/>
  <c r="S30" i="5"/>
  <c r="Q30" i="5"/>
  <c r="P30" i="5"/>
  <c r="O30" i="5"/>
  <c r="N30" i="5"/>
  <c r="M30" i="5"/>
  <c r="L30" i="5"/>
  <c r="K30" i="5"/>
  <c r="I30" i="5"/>
  <c r="H30" i="5"/>
  <c r="G30" i="5"/>
  <c r="F30" i="5"/>
  <c r="E30" i="5"/>
  <c r="D30" i="5"/>
  <c r="C30" i="5"/>
  <c r="Y27" i="5"/>
  <c r="X27" i="5"/>
  <c r="W27" i="5"/>
  <c r="V27" i="5"/>
  <c r="U27" i="5"/>
  <c r="T27" i="5"/>
  <c r="S27" i="5"/>
  <c r="Q27" i="5"/>
  <c r="P27" i="5"/>
  <c r="O27" i="5"/>
  <c r="N27" i="5"/>
  <c r="M27" i="5"/>
  <c r="L27" i="5"/>
  <c r="K27" i="5"/>
  <c r="I27" i="5"/>
  <c r="H27" i="5"/>
  <c r="G27" i="5"/>
  <c r="F27" i="5"/>
  <c r="E27" i="5"/>
  <c r="D27" i="5"/>
  <c r="C27" i="5"/>
  <c r="Y26" i="5"/>
  <c r="X26" i="5"/>
  <c r="W26" i="5"/>
  <c r="V26" i="5"/>
  <c r="U26" i="5"/>
  <c r="T26" i="5"/>
  <c r="S26" i="5"/>
  <c r="Q26" i="5"/>
  <c r="P26" i="5"/>
  <c r="O26" i="5"/>
  <c r="N26" i="5"/>
  <c r="M26" i="5"/>
  <c r="L26" i="5"/>
  <c r="K26" i="5"/>
  <c r="I26" i="5"/>
  <c r="H26" i="5"/>
  <c r="G26" i="5"/>
  <c r="F26" i="5"/>
  <c r="E26" i="5"/>
  <c r="D26" i="5"/>
  <c r="C26" i="5"/>
  <c r="Y25" i="5"/>
  <c r="X25" i="5"/>
  <c r="W25" i="5"/>
  <c r="V25" i="5"/>
  <c r="U25" i="5"/>
  <c r="S25" i="5"/>
  <c r="Q25" i="5"/>
  <c r="P25" i="5"/>
  <c r="O25" i="5"/>
  <c r="N25" i="5"/>
  <c r="M25" i="5"/>
  <c r="L25" i="5"/>
  <c r="K25" i="5"/>
  <c r="I25" i="5"/>
  <c r="H25" i="5"/>
  <c r="G25" i="5"/>
  <c r="F25" i="5"/>
  <c r="E25" i="5"/>
  <c r="D25" i="5"/>
  <c r="C25" i="5"/>
  <c r="Y24" i="5"/>
  <c r="X24" i="5"/>
  <c r="W24" i="5"/>
  <c r="V24" i="5"/>
  <c r="U24" i="5"/>
  <c r="T24" i="5"/>
  <c r="S24" i="5"/>
  <c r="Q24" i="5"/>
  <c r="P24" i="5"/>
  <c r="O24" i="5"/>
  <c r="N24" i="5"/>
  <c r="M24" i="5"/>
  <c r="L24" i="5"/>
  <c r="K24" i="5"/>
  <c r="I24" i="5"/>
  <c r="H24" i="5"/>
  <c r="G24" i="5"/>
  <c r="F24" i="5"/>
  <c r="E24" i="5"/>
  <c r="D24" i="5"/>
  <c r="C24" i="5"/>
  <c r="Y23" i="5"/>
  <c r="X23" i="5"/>
  <c r="W23" i="5"/>
  <c r="V23" i="5"/>
  <c r="U23" i="5"/>
  <c r="T23" i="5"/>
  <c r="S23" i="5"/>
  <c r="Q23" i="5"/>
  <c r="P23" i="5"/>
  <c r="O23" i="5"/>
  <c r="N23" i="5"/>
  <c r="M23" i="5"/>
  <c r="L23" i="5"/>
  <c r="K23" i="5"/>
  <c r="I23" i="5"/>
  <c r="H23" i="5"/>
  <c r="G23" i="5"/>
  <c r="F23" i="5"/>
  <c r="E23" i="5"/>
  <c r="D23" i="5"/>
  <c r="C23" i="5"/>
  <c r="Y22" i="5"/>
  <c r="X22" i="5"/>
  <c r="W22" i="5"/>
  <c r="V22" i="5"/>
  <c r="U22" i="5"/>
  <c r="T22" i="5"/>
  <c r="S22" i="5"/>
  <c r="Q22" i="5"/>
  <c r="P22" i="5"/>
  <c r="O22" i="5"/>
  <c r="N22" i="5"/>
  <c r="M22" i="5"/>
  <c r="L22" i="5"/>
  <c r="K22" i="5"/>
  <c r="I22" i="5"/>
  <c r="H22" i="5"/>
  <c r="G22" i="5"/>
  <c r="F22" i="5"/>
  <c r="E22" i="5"/>
  <c r="D22" i="5"/>
  <c r="C22" i="5"/>
  <c r="Y19" i="5"/>
  <c r="X19" i="5"/>
  <c r="W19" i="5"/>
  <c r="V19" i="5"/>
  <c r="U19" i="5"/>
  <c r="T19" i="5"/>
  <c r="S19" i="5"/>
  <c r="Q19" i="5"/>
  <c r="P19" i="5"/>
  <c r="O19" i="5"/>
  <c r="N19" i="5"/>
  <c r="M19" i="5"/>
  <c r="L19" i="5"/>
  <c r="K19" i="5"/>
  <c r="I19" i="5"/>
  <c r="H19" i="5"/>
  <c r="G19" i="5"/>
  <c r="F19" i="5"/>
  <c r="E19" i="5"/>
  <c r="D19" i="5"/>
  <c r="C19" i="5"/>
  <c r="Y18" i="5"/>
  <c r="X18" i="5"/>
  <c r="W18" i="5"/>
  <c r="V18" i="5"/>
  <c r="U18" i="5"/>
  <c r="T18" i="5"/>
  <c r="S18" i="5"/>
  <c r="Q18" i="5"/>
  <c r="P18" i="5"/>
  <c r="O18" i="5"/>
  <c r="N18" i="5"/>
  <c r="M18" i="5"/>
  <c r="L18" i="5"/>
  <c r="K18" i="5"/>
  <c r="I18" i="5"/>
  <c r="H18" i="5"/>
  <c r="G18" i="5"/>
  <c r="F18" i="5"/>
  <c r="E18" i="5"/>
  <c r="D18" i="5"/>
  <c r="C18" i="5"/>
  <c r="Y17" i="5"/>
  <c r="X17" i="5"/>
  <c r="W17" i="5"/>
  <c r="V17" i="5"/>
  <c r="U17" i="5"/>
  <c r="T17" i="5"/>
  <c r="S17" i="5"/>
  <c r="Q17" i="5"/>
  <c r="P17" i="5"/>
  <c r="O17" i="5"/>
  <c r="N17" i="5"/>
  <c r="M17" i="5"/>
  <c r="L17" i="5"/>
  <c r="K17" i="5"/>
  <c r="I17" i="5"/>
  <c r="H17" i="5"/>
  <c r="G17" i="5"/>
  <c r="F17" i="5"/>
  <c r="E17" i="5"/>
  <c r="D17" i="5"/>
  <c r="C17" i="5"/>
  <c r="Y16" i="5"/>
  <c r="X16" i="5"/>
  <c r="W16" i="5"/>
  <c r="V16" i="5"/>
  <c r="U16" i="5"/>
  <c r="T16" i="5"/>
  <c r="S16" i="5"/>
  <c r="Q16" i="5"/>
  <c r="P16" i="5"/>
  <c r="O16" i="5"/>
  <c r="N16" i="5"/>
  <c r="M16" i="5"/>
  <c r="L16" i="5"/>
  <c r="K16" i="5"/>
  <c r="I16" i="5"/>
  <c r="H16" i="5"/>
  <c r="G16" i="5"/>
  <c r="F16" i="5"/>
  <c r="E16" i="5"/>
  <c r="D16" i="5"/>
  <c r="C16" i="5"/>
  <c r="Y15" i="5"/>
  <c r="X15" i="5"/>
  <c r="W15" i="5"/>
  <c r="V15" i="5"/>
  <c r="U15" i="5"/>
  <c r="T15" i="5"/>
  <c r="S15" i="5"/>
  <c r="Q15" i="5"/>
  <c r="P15" i="5"/>
  <c r="O15" i="5"/>
  <c r="N15" i="5"/>
  <c r="M15" i="5"/>
  <c r="L15" i="5"/>
  <c r="K15" i="5"/>
  <c r="I15" i="5"/>
  <c r="H15" i="5"/>
  <c r="G15" i="5"/>
  <c r="F15" i="5"/>
  <c r="E15" i="5"/>
  <c r="D15" i="5"/>
  <c r="C15" i="5"/>
  <c r="Y14" i="5"/>
  <c r="X14" i="5"/>
  <c r="W14" i="5"/>
  <c r="V14" i="5"/>
  <c r="U14" i="5"/>
  <c r="T14" i="5"/>
  <c r="S14" i="5"/>
  <c r="Q14" i="5"/>
  <c r="P14" i="5"/>
  <c r="O14" i="5"/>
  <c r="N14" i="5"/>
  <c r="M14" i="5"/>
  <c r="L14" i="5"/>
  <c r="K14" i="5"/>
  <c r="I14" i="5"/>
  <c r="H14" i="5"/>
  <c r="G14" i="5"/>
  <c r="F14" i="5"/>
  <c r="E14" i="5"/>
  <c r="D14" i="5"/>
  <c r="C14" i="5"/>
  <c r="Y11" i="5"/>
  <c r="X11" i="5"/>
  <c r="W11" i="5"/>
  <c r="V11" i="5"/>
  <c r="U11" i="5"/>
  <c r="T11" i="5"/>
  <c r="S11" i="5"/>
  <c r="Q11" i="5"/>
  <c r="P11" i="5"/>
  <c r="O11" i="5"/>
  <c r="N11" i="5"/>
  <c r="M11" i="5"/>
  <c r="L11" i="5"/>
  <c r="K11" i="5"/>
  <c r="I11" i="5"/>
  <c r="H11" i="5"/>
  <c r="G11" i="5"/>
  <c r="F11" i="5"/>
  <c r="E11" i="5"/>
  <c r="D11" i="5"/>
  <c r="C11" i="5"/>
  <c r="Y10" i="5"/>
  <c r="X10" i="5"/>
  <c r="W10" i="5"/>
  <c r="V10" i="5"/>
  <c r="U10" i="5"/>
  <c r="T10" i="5"/>
  <c r="S10" i="5"/>
  <c r="Q10" i="5"/>
  <c r="P10" i="5"/>
  <c r="O10" i="5"/>
  <c r="N10" i="5"/>
  <c r="M10" i="5"/>
  <c r="L10" i="5"/>
  <c r="K10" i="5"/>
  <c r="I10" i="5"/>
  <c r="H10" i="5"/>
  <c r="G10" i="5"/>
  <c r="F10" i="5"/>
  <c r="D10" i="5"/>
  <c r="C10" i="5"/>
  <c r="Y9" i="5"/>
  <c r="X9" i="5"/>
  <c r="W9" i="5"/>
  <c r="V9" i="5"/>
  <c r="U9" i="5"/>
  <c r="T9" i="5"/>
  <c r="S9" i="5"/>
  <c r="Q9" i="5"/>
  <c r="P9" i="5"/>
  <c r="O9" i="5"/>
  <c r="N9" i="5"/>
  <c r="M9" i="5"/>
  <c r="L9" i="5"/>
  <c r="K9" i="5"/>
  <c r="I9" i="5"/>
  <c r="H9" i="5"/>
  <c r="G9" i="5"/>
  <c r="F9" i="5"/>
  <c r="E9" i="5"/>
  <c r="D9" i="5"/>
  <c r="C9" i="5"/>
  <c r="Y8" i="5"/>
  <c r="X8" i="5"/>
  <c r="W8" i="5"/>
  <c r="V8" i="5"/>
  <c r="U8" i="5"/>
  <c r="T8" i="5"/>
  <c r="S8" i="5"/>
  <c r="Q8" i="5"/>
  <c r="P8" i="5"/>
  <c r="O8" i="5"/>
  <c r="N8" i="5"/>
  <c r="M8" i="5"/>
  <c r="L8" i="5"/>
  <c r="K8" i="5"/>
  <c r="I8" i="5"/>
  <c r="H8" i="5"/>
  <c r="G8" i="5"/>
  <c r="F8" i="5"/>
  <c r="E8" i="5"/>
  <c r="D8" i="5"/>
  <c r="C8" i="5"/>
  <c r="Y7" i="5"/>
  <c r="X7" i="5"/>
  <c r="W7" i="5"/>
  <c r="V7" i="5"/>
  <c r="U7" i="5"/>
  <c r="T7" i="5"/>
  <c r="S7" i="5"/>
  <c r="Q7" i="5"/>
  <c r="P7" i="5"/>
  <c r="O7" i="5"/>
  <c r="N7" i="5"/>
  <c r="M7" i="5"/>
  <c r="L7" i="5"/>
  <c r="K7" i="5"/>
  <c r="I7" i="5"/>
  <c r="H7" i="5"/>
  <c r="G7" i="5"/>
  <c r="F7" i="5"/>
  <c r="E7" i="5"/>
  <c r="D7" i="5"/>
  <c r="C7" i="5"/>
  <c r="Y6" i="5"/>
  <c r="X6" i="5"/>
  <c r="W6" i="5"/>
  <c r="V6" i="5"/>
  <c r="U6" i="5"/>
  <c r="T6" i="5"/>
  <c r="S6" i="5"/>
  <c r="Q6" i="5"/>
  <c r="P6" i="5"/>
  <c r="O6" i="5"/>
  <c r="N6" i="5"/>
  <c r="M6" i="5"/>
  <c r="L6" i="5"/>
  <c r="K6" i="5"/>
  <c r="I6" i="5"/>
  <c r="H6" i="5"/>
  <c r="G6" i="5"/>
  <c r="F6" i="5"/>
  <c r="E6" i="5"/>
  <c r="D6" i="5"/>
  <c r="C6" i="5"/>
  <c r="E14" i="1"/>
  <c r="G14" i="1"/>
  <c r="D14" i="1"/>
  <c r="D6" i="1" l="1"/>
  <c r="F6" i="1"/>
  <c r="S10" i="1"/>
  <c r="T10" i="1"/>
  <c r="U10" i="1"/>
  <c r="V10" i="1"/>
  <c r="G6" i="1"/>
  <c r="D7" i="1"/>
  <c r="D7" i="3" l="1"/>
  <c r="D8" i="3" s="1"/>
  <c r="D13" i="3" l="1"/>
  <c r="D15" i="3" s="1"/>
  <c r="O34" i="1"/>
  <c r="G8" i="1"/>
  <c r="Y35" i="1" l="1"/>
  <c r="X35" i="1"/>
  <c r="W35" i="1"/>
  <c r="V35" i="1"/>
  <c r="U35" i="1"/>
  <c r="T35" i="1"/>
  <c r="S35" i="1"/>
  <c r="Y34" i="1"/>
  <c r="X34" i="1"/>
  <c r="W34" i="1"/>
  <c r="V34" i="1"/>
  <c r="U34" i="1"/>
  <c r="T34" i="1"/>
  <c r="S34" i="1"/>
  <c r="Y33" i="1"/>
  <c r="X33" i="1"/>
  <c r="W33" i="1"/>
  <c r="V33" i="1"/>
  <c r="U33" i="1"/>
  <c r="T33" i="1"/>
  <c r="S33" i="1"/>
  <c r="Y32" i="1"/>
  <c r="X32" i="1"/>
  <c r="W32" i="1"/>
  <c r="V32" i="1"/>
  <c r="U32" i="1"/>
  <c r="T32" i="1"/>
  <c r="S32" i="1"/>
  <c r="Y31" i="1"/>
  <c r="X31" i="1"/>
  <c r="W31" i="1"/>
  <c r="V31" i="1"/>
  <c r="U31" i="1"/>
  <c r="T31" i="1"/>
  <c r="S31" i="1"/>
  <c r="Y30" i="1"/>
  <c r="X30" i="1"/>
  <c r="W30" i="1"/>
  <c r="V30" i="1"/>
  <c r="U30" i="1"/>
  <c r="T30" i="1"/>
  <c r="S30" i="1"/>
  <c r="Q35" i="1"/>
  <c r="P35" i="1"/>
  <c r="O35" i="1"/>
  <c r="N35" i="1"/>
  <c r="M35" i="1"/>
  <c r="L35" i="1"/>
  <c r="K35" i="1"/>
  <c r="Q34" i="1"/>
  <c r="P34" i="1"/>
  <c r="N34" i="1"/>
  <c r="M34" i="1"/>
  <c r="L34" i="1"/>
  <c r="K34" i="1"/>
  <c r="Q33" i="1"/>
  <c r="P33" i="1"/>
  <c r="O33" i="1"/>
  <c r="N33" i="1"/>
  <c r="M33" i="1"/>
  <c r="L33" i="1"/>
  <c r="K33" i="1"/>
  <c r="Q32" i="1"/>
  <c r="P32" i="1"/>
  <c r="O32" i="1"/>
  <c r="N32" i="1"/>
  <c r="M32" i="1"/>
  <c r="L32" i="1"/>
  <c r="K32" i="1"/>
  <c r="Q31" i="1"/>
  <c r="P31" i="1"/>
  <c r="O31" i="1"/>
  <c r="N31" i="1"/>
  <c r="M31" i="1"/>
  <c r="L31" i="1"/>
  <c r="K31" i="1"/>
  <c r="Q30" i="1"/>
  <c r="P30" i="1"/>
  <c r="O30" i="1"/>
  <c r="N30" i="1"/>
  <c r="M30" i="1"/>
  <c r="L30" i="1"/>
  <c r="K30" i="1"/>
  <c r="I35" i="1"/>
  <c r="H35" i="1"/>
  <c r="G35" i="1"/>
  <c r="F35" i="1"/>
  <c r="E35" i="1"/>
  <c r="D35" i="1"/>
  <c r="C35" i="1"/>
  <c r="I34" i="1"/>
  <c r="H34" i="1"/>
  <c r="G34" i="1"/>
  <c r="F34" i="1"/>
  <c r="E34" i="1"/>
  <c r="D34" i="1"/>
  <c r="C34" i="1"/>
  <c r="I33" i="1"/>
  <c r="H33" i="1"/>
  <c r="G33" i="1"/>
  <c r="F33" i="1"/>
  <c r="E33" i="1"/>
  <c r="D33" i="1"/>
  <c r="C33" i="1"/>
  <c r="I32" i="1"/>
  <c r="H32" i="1"/>
  <c r="G32" i="1"/>
  <c r="F32" i="1"/>
  <c r="E32" i="1"/>
  <c r="D32" i="1"/>
  <c r="C32" i="1"/>
  <c r="I31" i="1"/>
  <c r="H31" i="1"/>
  <c r="G31" i="1"/>
  <c r="F31" i="1"/>
  <c r="E31" i="1"/>
  <c r="D31" i="1"/>
  <c r="C31" i="1"/>
  <c r="I30" i="1"/>
  <c r="H30" i="1"/>
  <c r="G30" i="1"/>
  <c r="F30" i="1"/>
  <c r="E30" i="1"/>
  <c r="D30" i="1"/>
  <c r="C30" i="1"/>
  <c r="Y27" i="1"/>
  <c r="X27" i="1"/>
  <c r="W27" i="1"/>
  <c r="V27" i="1"/>
  <c r="U27" i="1"/>
  <c r="T27" i="1"/>
  <c r="S27" i="1"/>
  <c r="Y26" i="1"/>
  <c r="X26" i="1"/>
  <c r="W26" i="1"/>
  <c r="V26" i="1"/>
  <c r="U26" i="1"/>
  <c r="T26" i="1"/>
  <c r="S26" i="1"/>
  <c r="Y25" i="1"/>
  <c r="X25" i="1"/>
  <c r="W25" i="1"/>
  <c r="V25" i="1"/>
  <c r="T25" i="1"/>
  <c r="S25" i="1"/>
  <c r="Y24" i="1"/>
  <c r="X24" i="1"/>
  <c r="W24" i="1"/>
  <c r="V24" i="1"/>
  <c r="U24" i="1"/>
  <c r="T24" i="1"/>
  <c r="S24" i="1"/>
  <c r="Y23" i="1"/>
  <c r="X23" i="1"/>
  <c r="W23" i="1"/>
  <c r="V23" i="1"/>
  <c r="U23" i="1"/>
  <c r="T23" i="1"/>
  <c r="S23" i="1"/>
  <c r="Y22" i="1"/>
  <c r="X22" i="1"/>
  <c r="W22" i="1"/>
  <c r="V22" i="1"/>
  <c r="U22" i="1"/>
  <c r="T22" i="1"/>
  <c r="S22" i="1"/>
  <c r="Q27" i="1"/>
  <c r="P27" i="1"/>
  <c r="O27" i="1"/>
  <c r="N27" i="1"/>
  <c r="M27" i="1"/>
  <c r="L27" i="1"/>
  <c r="K27" i="1"/>
  <c r="Q26" i="1"/>
  <c r="P26" i="1"/>
  <c r="O26" i="1"/>
  <c r="N26" i="1"/>
  <c r="M26" i="1"/>
  <c r="L26" i="1"/>
  <c r="K26" i="1"/>
  <c r="Q25" i="1"/>
  <c r="P25" i="1"/>
  <c r="O25" i="1"/>
  <c r="N25" i="1"/>
  <c r="M25" i="1"/>
  <c r="L25" i="1"/>
  <c r="K25" i="1"/>
  <c r="Q24" i="1"/>
  <c r="P24" i="1"/>
  <c r="O24" i="1"/>
  <c r="N24" i="1"/>
  <c r="M24" i="1"/>
  <c r="L24" i="1"/>
  <c r="K24" i="1"/>
  <c r="Q23" i="1"/>
  <c r="P23" i="1"/>
  <c r="O23" i="1"/>
  <c r="N23" i="1"/>
  <c r="M23" i="1"/>
  <c r="L23" i="1"/>
  <c r="K23" i="1"/>
  <c r="Q22" i="1"/>
  <c r="P22" i="1"/>
  <c r="O22" i="1"/>
  <c r="N22" i="1"/>
  <c r="M22" i="1"/>
  <c r="L22" i="1"/>
  <c r="K22" i="1"/>
  <c r="I27" i="1"/>
  <c r="H27" i="1"/>
  <c r="G27" i="1"/>
  <c r="F27" i="1"/>
  <c r="E27" i="1"/>
  <c r="D27" i="1"/>
  <c r="C27" i="1"/>
  <c r="I26" i="1"/>
  <c r="H26" i="1"/>
  <c r="G26" i="1"/>
  <c r="F26" i="1"/>
  <c r="E26" i="1"/>
  <c r="D26" i="1"/>
  <c r="C26" i="1"/>
  <c r="I25" i="1"/>
  <c r="H25" i="1"/>
  <c r="G25" i="1"/>
  <c r="F25" i="1"/>
  <c r="E25" i="1"/>
  <c r="D25" i="1"/>
  <c r="C25" i="1"/>
  <c r="I24" i="1"/>
  <c r="H24" i="1"/>
  <c r="G24" i="1"/>
  <c r="F24" i="1"/>
  <c r="E24" i="1"/>
  <c r="D24" i="1"/>
  <c r="C24" i="1"/>
  <c r="I23" i="1"/>
  <c r="H23" i="1"/>
  <c r="G23" i="1"/>
  <c r="F23" i="1"/>
  <c r="E23" i="1"/>
  <c r="D23" i="1"/>
  <c r="C23" i="1"/>
  <c r="I22" i="1"/>
  <c r="H22" i="1"/>
  <c r="F22" i="1"/>
  <c r="E22" i="1"/>
  <c r="D22" i="1"/>
  <c r="C22" i="1"/>
  <c r="Y19" i="1"/>
  <c r="X19" i="1"/>
  <c r="W19" i="1"/>
  <c r="V19" i="1"/>
  <c r="U19" i="1"/>
  <c r="T19" i="1"/>
  <c r="S19" i="1"/>
  <c r="Y18" i="1"/>
  <c r="X18" i="1"/>
  <c r="W18" i="1"/>
  <c r="V18" i="1"/>
  <c r="U18" i="1"/>
  <c r="T18" i="1"/>
  <c r="S18" i="1"/>
  <c r="Y17" i="1"/>
  <c r="X17" i="1"/>
  <c r="W17" i="1"/>
  <c r="V17" i="1"/>
  <c r="U17" i="1"/>
  <c r="T17" i="1"/>
  <c r="S17" i="1"/>
  <c r="Y16" i="1"/>
  <c r="X16" i="1"/>
  <c r="W16" i="1"/>
  <c r="V16" i="1"/>
  <c r="U16" i="1"/>
  <c r="T16" i="1"/>
  <c r="S16" i="1"/>
  <c r="Y15" i="1"/>
  <c r="X15" i="1"/>
  <c r="W15" i="1"/>
  <c r="V15" i="1"/>
  <c r="U15" i="1"/>
  <c r="T15" i="1"/>
  <c r="S15" i="1"/>
  <c r="Y14" i="1"/>
  <c r="X14" i="1"/>
  <c r="W14" i="1"/>
  <c r="V14" i="1"/>
  <c r="U14" i="1"/>
  <c r="T14" i="1"/>
  <c r="S14" i="1"/>
  <c r="Q19" i="1"/>
  <c r="P19" i="1"/>
  <c r="O19" i="1"/>
  <c r="N19" i="1"/>
  <c r="M19" i="1"/>
  <c r="L19" i="1"/>
  <c r="K19" i="1"/>
  <c r="Q18" i="1"/>
  <c r="P18" i="1"/>
  <c r="O18" i="1"/>
  <c r="N18" i="1"/>
  <c r="M18" i="1"/>
  <c r="L18" i="1"/>
  <c r="K18" i="1"/>
  <c r="Q17" i="1"/>
  <c r="P17" i="1"/>
  <c r="O17" i="1"/>
  <c r="N17" i="1"/>
  <c r="M17" i="1"/>
  <c r="L17" i="1"/>
  <c r="K17" i="1"/>
  <c r="Q16" i="1"/>
  <c r="P16" i="1"/>
  <c r="O16" i="1"/>
  <c r="N16" i="1"/>
  <c r="M16" i="1"/>
  <c r="L16" i="1"/>
  <c r="K16" i="1"/>
  <c r="Q15" i="1"/>
  <c r="P15" i="1"/>
  <c r="O15" i="1"/>
  <c r="N15" i="1"/>
  <c r="M15" i="1"/>
  <c r="L15" i="1"/>
  <c r="K15" i="1"/>
  <c r="Q14" i="1"/>
  <c r="P14" i="1"/>
  <c r="O14" i="1"/>
  <c r="N14" i="1"/>
  <c r="M14" i="1"/>
  <c r="L14" i="1"/>
  <c r="K14" i="1"/>
  <c r="I19" i="1"/>
  <c r="H19" i="1"/>
  <c r="G19" i="1"/>
  <c r="F19" i="1"/>
  <c r="E19" i="1"/>
  <c r="D19" i="1"/>
  <c r="C19" i="1"/>
  <c r="I18" i="1"/>
  <c r="H18" i="1"/>
  <c r="G18" i="1"/>
  <c r="F18" i="1"/>
  <c r="E18" i="1"/>
  <c r="D18" i="1"/>
  <c r="C18" i="1"/>
  <c r="I17" i="1"/>
  <c r="H17" i="1"/>
  <c r="G17" i="1"/>
  <c r="F17" i="1"/>
  <c r="E17" i="1"/>
  <c r="D17" i="1"/>
  <c r="C17" i="1"/>
  <c r="I16" i="1"/>
  <c r="H16" i="1"/>
  <c r="G16" i="1"/>
  <c r="F16" i="1"/>
  <c r="E16" i="1"/>
  <c r="D16" i="1"/>
  <c r="C16" i="1"/>
  <c r="I15" i="1"/>
  <c r="H15" i="1"/>
  <c r="G15" i="1"/>
  <c r="F15" i="1"/>
  <c r="E15" i="1"/>
  <c r="D15" i="1"/>
  <c r="C15" i="1"/>
  <c r="I14" i="1"/>
  <c r="H14" i="1"/>
  <c r="F14" i="1"/>
  <c r="C14" i="1"/>
  <c r="Y11" i="1"/>
  <c r="X11" i="1"/>
  <c r="W11" i="1"/>
  <c r="V11" i="1"/>
  <c r="U11" i="1"/>
  <c r="T11" i="1"/>
  <c r="S11" i="1"/>
  <c r="Y10" i="1"/>
  <c r="X10" i="1"/>
  <c r="W10" i="1"/>
  <c r="Y9" i="1"/>
  <c r="X9" i="1"/>
  <c r="W9" i="1"/>
  <c r="V9" i="1"/>
  <c r="U9" i="1"/>
  <c r="T9" i="1"/>
  <c r="S9" i="1"/>
  <c r="Y8" i="1"/>
  <c r="X8" i="1"/>
  <c r="W8" i="1"/>
  <c r="V8" i="1"/>
  <c r="U8" i="1"/>
  <c r="T8" i="1"/>
  <c r="S8" i="1"/>
  <c r="Y7" i="1"/>
  <c r="X7" i="1"/>
  <c r="W7" i="1"/>
  <c r="V7" i="1"/>
  <c r="U7" i="1"/>
  <c r="T7" i="1"/>
  <c r="S7" i="1"/>
  <c r="Y6" i="1"/>
  <c r="X6" i="1"/>
  <c r="W6" i="1"/>
  <c r="V6" i="1"/>
  <c r="U6" i="1"/>
  <c r="T6" i="1"/>
  <c r="S6" i="1"/>
  <c r="Q11" i="1"/>
  <c r="P11" i="1"/>
  <c r="O11" i="1"/>
  <c r="N11" i="1"/>
  <c r="M11" i="1"/>
  <c r="L11" i="1"/>
  <c r="K11" i="1"/>
  <c r="Q10" i="1"/>
  <c r="P10" i="1"/>
  <c r="O10" i="1"/>
  <c r="N10" i="1"/>
  <c r="M10" i="1"/>
  <c r="L10" i="1"/>
  <c r="K10" i="1"/>
  <c r="Q9" i="1"/>
  <c r="P9" i="1"/>
  <c r="O9" i="1"/>
  <c r="N9" i="1"/>
  <c r="M9" i="1"/>
  <c r="L9" i="1"/>
  <c r="K9" i="1"/>
  <c r="Q8" i="1"/>
  <c r="P8" i="1"/>
  <c r="O8" i="1"/>
  <c r="N8" i="1"/>
  <c r="M8" i="1"/>
  <c r="L8" i="1"/>
  <c r="K8" i="1"/>
  <c r="Q7" i="1"/>
  <c r="P7" i="1"/>
  <c r="O7" i="1"/>
  <c r="N7" i="1"/>
  <c r="M7" i="1"/>
  <c r="L7" i="1"/>
  <c r="K7" i="1"/>
  <c r="Q6" i="1"/>
  <c r="P6" i="1"/>
  <c r="O6" i="1"/>
  <c r="N6" i="1"/>
  <c r="M6" i="1"/>
  <c r="L6" i="1"/>
  <c r="K6" i="1"/>
  <c r="I11" i="1"/>
  <c r="H11" i="1"/>
  <c r="G11" i="1"/>
  <c r="F11" i="1"/>
  <c r="E11" i="1"/>
  <c r="D11" i="1"/>
  <c r="C11" i="1"/>
  <c r="I10" i="1"/>
  <c r="H10" i="1"/>
  <c r="G10" i="1"/>
  <c r="F10" i="1"/>
  <c r="E10" i="1"/>
  <c r="D10" i="1"/>
  <c r="C10" i="1"/>
  <c r="I9" i="1"/>
  <c r="H9" i="1"/>
  <c r="G9" i="1"/>
  <c r="F9" i="1"/>
  <c r="E9" i="1"/>
  <c r="D9" i="1"/>
  <c r="C9" i="1"/>
  <c r="I8" i="1"/>
  <c r="H8" i="1"/>
  <c r="F8" i="1"/>
  <c r="E8" i="1"/>
  <c r="D8" i="1"/>
  <c r="C8" i="1"/>
  <c r="I7" i="1"/>
  <c r="H7" i="1"/>
  <c r="G7" i="1"/>
  <c r="F7" i="1"/>
  <c r="E7" i="1"/>
  <c r="C7" i="1"/>
  <c r="I6" i="1"/>
  <c r="H6" i="1"/>
  <c r="E6" i="1"/>
  <c r="C6" i="1"/>
</calcChain>
</file>

<file path=xl/sharedStrings.xml><?xml version="1.0" encoding="utf-8"?>
<sst xmlns="http://schemas.openxmlformats.org/spreadsheetml/2006/main" count="502" uniqueCount="75">
  <si>
    <t>JANUARY</t>
  </si>
  <si>
    <t>MON</t>
  </si>
  <si>
    <t>MARCH</t>
  </si>
  <si>
    <t>MAY</t>
  </si>
  <si>
    <t>JULY</t>
  </si>
  <si>
    <t>SEPTEMBER</t>
  </si>
  <si>
    <t>NOVEMBER</t>
  </si>
  <si>
    <t>TUE</t>
  </si>
  <si>
    <t>WED</t>
  </si>
  <si>
    <t>THU</t>
  </si>
  <si>
    <t>FRI</t>
  </si>
  <si>
    <t>SAT</t>
  </si>
  <si>
    <t>SUN</t>
  </si>
  <si>
    <t>FEBRUARY</t>
  </si>
  <si>
    <t>APRIL</t>
  </si>
  <si>
    <t>JUNE</t>
  </si>
  <si>
    <t>AUGUST</t>
  </si>
  <si>
    <t>OCTOBER</t>
  </si>
  <si>
    <t>DECEMBER</t>
  </si>
  <si>
    <t>Valuation Day</t>
  </si>
  <si>
    <t>Subscription Day</t>
  </si>
  <si>
    <t>Subscriptions are accepted on a quarterly basis, on the first day of each calendar quarter (1 January, 1 April, 1 July and 1 October, or if such day does not fall on a Business Day, the immediately following Business Day).
Prospective investors wishing to invest in the Sub-Fund must provide to the AIFM, by 14.30/2.30 p.m. C.E.T. on the Subscription Day , a subscription request (the “Subscription Notice”), in writing or by way of electronic means.</t>
  </si>
  <si>
    <t>The last day of March, June, September and December.</t>
  </si>
  <si>
    <t>NAV Release Target Day</t>
  </si>
  <si>
    <t>Today</t>
  </si>
  <si>
    <t>What is the end of the lock-up period?</t>
  </si>
  <si>
    <t>(respecting the 5y lock-up and 1y pre-notification period)</t>
  </si>
  <si>
    <t>Investors must fund their Subscriptions by the full amount, to an account specified by the Fund, within 3 Business Days following the release of the Net Asset Value per Share in relation to the Valuation Day. Shares will be issued as soon as practicable following the release of the Net Asset Value per Share, on the condition that the Investor has paid their Subscriptions in full.
If Investors fund their Subscriptions prior to the settlement date, such amounts will be held on a collection account (which will not accrue nor bear any interest), and they will not receive Shares until after the release of the Net Asset Value per Share, as described above. Such amounts will only be available to be invested in line with the investment objective of the Sub-Fund after the Cooling-off Period.</t>
  </si>
  <si>
    <t>Next possible redemption day:</t>
  </si>
  <si>
    <t>What is the deadline to place the redemption order:</t>
  </si>
  <si>
    <t>When were the shares bought on?</t>
  </si>
  <si>
    <t>14:30CET on</t>
  </si>
  <si>
    <t>Settlement Day Deadline</t>
  </si>
  <si>
    <t>Fund Financial Year-end</t>
  </si>
  <si>
    <t>31st December</t>
  </si>
  <si>
    <t xml:space="preserve">80 Days after the Subscription Day (or if such day does not fall on a Business Day, the immediately following Business Day).
</t>
  </si>
  <si>
    <t>Fund Company Name</t>
  </si>
  <si>
    <t>Holiday Date</t>
  </si>
  <si>
    <t>JPMorgan ELTIFs</t>
  </si>
  <si>
    <t>Currency</t>
  </si>
  <si>
    <t>EUR</t>
  </si>
  <si>
    <t>Name</t>
  </si>
  <si>
    <t>New Year</t>
  </si>
  <si>
    <t>Good Friday</t>
  </si>
  <si>
    <t>Easter Monday</t>
  </si>
  <si>
    <t>Labour Day</t>
  </si>
  <si>
    <t>Christmas</t>
  </si>
  <si>
    <t>Date</t>
  </si>
  <si>
    <t>USD</t>
  </si>
  <si>
    <t>Martin Luther King's Day</t>
  </si>
  <si>
    <t>Washington Day</t>
  </si>
  <si>
    <t>Memorial Day</t>
  </si>
  <si>
    <t>Juneteenth Nat. Ind. Day</t>
  </si>
  <si>
    <t>Independence Day</t>
  </si>
  <si>
    <t>Labor Day</t>
  </si>
  <si>
    <t>Columbus Day</t>
  </si>
  <si>
    <t>Veterans Day</t>
  </si>
  <si>
    <t>Thanksgiving Day</t>
  </si>
  <si>
    <t>Christmas Eve</t>
  </si>
  <si>
    <t>Event</t>
  </si>
  <si>
    <t>St Etienne Day</t>
  </si>
  <si>
    <t>New Year's Eve</t>
  </si>
  <si>
    <t>Weekend check</t>
  </si>
  <si>
    <t>Holiday calendar check</t>
  </si>
  <si>
    <t>Select the Year?</t>
  </si>
  <si>
    <t>What is the subscription date?</t>
  </si>
  <si>
    <t>Redemption requests are accepted on the first day of each calendar quarter (1 January, 1 April, 1 July, 1 October or if such day does not fall on a Business Day, the immediately following Business Day) (each, a “Redemption Day”), subject to the application of the Gating Restrictions or, where applicable, the Extraordinary Gating Restrictions (as described in the Fund Prospectus). 
To request redemption, a Redemption request in writing or by way of electronic means must be submitted to the AIFM (the “Redemption Notice”) specifying the number of Shares to be redeemed and the Redemption Day in respect of which the request is made) at the latest by 14.30/2.30 p.m. C.E.T., on the last Business Day twelve (12) months prior to the applicable Redemption Day (the “Redemption Cut-Off Time”).
In practice, it is expected that redemption requests will accepted during the quarter preceding the redemption deadline specified above. Once the redemption is instructed, you will receive an acknowledgement notification and your redemption will be kept in pending status until the Redemption Day’s NAV has been released. Under the terms of the Prospectus, the NAV per share release is expected to be within 90 days of the Valuation Day. In practice the AIFM aims to make the NAV per share available on the 80th day.
For more details, please refer to relevant section of the Prospectus. Contact your financial advisor or Distributor in case of questions.</t>
  </si>
  <si>
    <t>JPMorgan ELTIFs - Multi-Alternatives Fund - Dealing Calendar</t>
  </si>
  <si>
    <t>JPMorgan ELTIF - Multi-Alternatives Fund - Redemption Day Simulation tool</t>
  </si>
  <si>
    <t>Select the Month?</t>
  </si>
  <si>
    <t>This is a marketing communication and as such the views contained herein do not form part of an offer, nor are they to be taken as advice or a recommendation, to buy or sell any investment or interest thereto. Reliance upon information in this material is at the sole discretion of the reader. Any research in this document has been obtained and may have been acted upon by J.P.Morgan Asset Management for its own purpose. The results of such research are being made available as additional information and do not necessarily reflect the views of J.P. Morgan Asset Management. Any forecasts, figures, opinions, statements of financial market trends or investment techniques and strategies expressed are, unless otherwise stated, J.P. Morgan Asset Management’s own at the date of this document. They may not necessarily be all inclusive and may be subject to change without reference or notification to you. The value of investments and the income from them may fluctuate in accordance with market conditions and taxation agreements and investors may not get back the full amount invested. Investing in illiquid assets involves a higher level of risk than investing in liquid assets. The investors may not be able to sell their investment for an extended period of time and the price received at the time of sale may be significantly lower than the price at which the investment was made. Changes in exchange rates may have an adverse effect on the value, price or income of the products or underlying overseas investments. Past performance and yield are not a reliable indicator of current and future results. There is no guarantee that any forecast made will come to pass. Furthermore, there can be no assurance that the investment objectives of the investment products will be met. J.P. Morgan Asset Management is the brand name for the asset management business of JPMorgan Chase &amp; Co. and its affiliates worldwide. To the extent permitted by applicable law, we may record telephone calls and monitor electronic communications to comply with our legal and regulatory obligations and internal policies. Personal data will be collected, stored and processed by J.P. Morgan Asset Management in accordance with our EMEA Privacy Policy www.jpmorgan.com/emea-privacy-policy. As the product may not be authorised or its offering may be restricted in your jurisdiction, it is the responsibility of every reader to satisfy himself as to the full observance of the laws and regulations of the relevant jurisdiction. Prior to any application investors are advised to take all necessary legal, regulatory and tax advice on the consequences of an investment in the products. Shares or other interests may not be offered to, or purchased, directly or indirectly by US persons. All transactions should be based on the latest available Prospectus, the Key Information Document (KID) and any applicable local offering document. These documents together with the annual report, semi-annual report, the articles of incorporation and sustainability-related disclosures for the Luxembourg domiciled products are available in English upon request from JPMorgan Asset Management (Europe) S.à r.l., 6 route de Trèves, L- 2633 Senningerberg, Grand Duchy of Luxembourg, your financial adviser, your J.P. Morgan Asset Management regional contact or at https://am.jpmorgan.com. A summary of investor rights is available in English at https://am.jpmorgan.com/lu/investor-rights. J.P. Morgan Asset Management may decide to terminate the arrangements made for the marketing of its collective investment undertakings. For Switzerland, the offer and marketing of Shares of the Fund in Switzerland will be exclusively made to, and directed at, qualified investors (the "Qualified Investors"), as defined in Article 10(3) and (3ter) of the Swiss Collective Investment Schemes Act ("CISA") and its implementing ordinance. Accordingly, the Fund/a Sub-Fund has not been and will not be registered with the Swiss Financial Market Supervisory Authority ("FINMA"). This document, the Prospectus and/or any other offering or marketing materials relating to the Shares of the Fund may be made available in Switzerland solely to Qualified Investors. In respect of the offer and marketing in Switzerland to qualified investors with an opting-out pursuant to Art. 5(1) of the Swiss Federal Act on Financial Services ("FinSA") and without any portfolio management or advisory relationship with a financial intermediary pursuant to Article 10(3ter) CISA, the Fund has appointed a Swiss representative and paying agent. Swiss representative: JPMorgan Asset Management (Switzerland) LLC, Dreikönigstrasse 37, CH- 8002 Zurich / Swiss paying agent: J.P. Morgan (Suisse) SA, 35, rue de Rhone, CH-1204 Geneva. The legal documents as well as the latest annual and semi-annual financial reports, if any, of the Fund may be obtained free of charge from the Swiss representative. JPMorgan Asset Management (Switzerland) LLC in its capacity as entity marketing or offering Shares in the Fund in and from Switzerland receives remuneration which is paid out of the management fee as defined in the Fund documentation. Further information regarding this remuneration, including its calculation method, may be obtained upon written request from JPMorgan Asset Management (Switzerland) LLC. This communication is issued in Europe (excluding UK) by JPMorgan Asset Management (Europe) S.à r.l., 6 route de Trèves, L-2633 Senningerberg, Grand Duchy of Luxembourg, R.C.S. Luxembourg B27900, corporate capital EUR 10.000.000. This communication is issued in the UK by JPMorgan Asset Management (UK) Limited, which is authorised and regulated by the Financial Conduct Authority. Registered in England No. 01161446. Registered address: 25 Bank Street, Canary Wharf, London E14 5JP.</t>
  </si>
  <si>
    <t xml:space="preserve">This is a marketing communication and as such the views contained herein do not form part of an offer, nor are they to be taken as advice or a recommendation, to buy or sell any investment or interest thereto. Reliance upon information in this material is at the sole discretion of the reader. Any research in this document has been obtained and may have been acted upon by J.P. Morgan Asset Management for its own purpose. The results of such research are being made available as additional information and do not necessarily reflect the views of J.P. Morgan Asset Management. Any forecasts, figures, opinions, statements of financial market trends or investment techniques and strategies expressed are, unless otherwise stated, J.P. Morgan Asset Management’s own at the date of this document. They may not necessarily be all inclusive and may be subject to change without reference or notification to you. The value of investments and the income from them may fluctuate in accordance with market conditions and taxation agreements and investors may not get back the full amount invested. Investing in illiquid assets involves a higher level of risk than investing in liquid assets. The investors may not be able to sell their investment for an extended period of time and the price received at the time of sale may be significantly lower than the price at which the investment was made. Changes in exchange rates may have an adverse effect on the value, price or income of the products or underlying overseas investments. Past performance and yield are not a reliable indicator of current and future results. There is no guarantee that any forecast made will come to pass. Furthermore, there can be no assurance that the investment objectives of the investment products will be met. J.P. Morgan Asset Management is the brand name for the asset management business of JPMorgan Chase &amp; Co. and its affiliates worldwide. To the extent permitted by applicable law, we may record telephone calls and monitor electronic communications to comply with our legal and regulatory obligations and internal policies. Personal data will be collected, stored and processed by J.P. Morgan Asset Management in accordance with our EMEA Privacy Policy www.jpmorgan.com/emea-privacy-policy. As the product may not be authorised or its offering may be restricted in your jurisdiction, it is the responsibility of every reader to satisfy himself as to the full observance of the laws and regulations of the relevant jurisdiction. Prior to any application investors are advised to take all necessary legal, regulatory and tax advice on the consequences of an investment in the products. Shares or other interests may not be offered to, or purchased, directly or indirectly by US persons. All transactions should be based on the latest available Prospectus, the Key Information Document (KID) and any applicable local offering document. These documents together with the annual report, semi-annual report, the articles of incorporation and sustainability-related disclosures for the Luxembourg domiciled products are available in English upon request from JPMorgan Asset Management (Europe) S.à r.l., 6 route de Trèves, L-2633 Senningerberg, Grand Duchy of Luxembourg, your financial adviser, your J.P. Morgan Asset Management regional contact or at https://am.jpmorgan.com. A summary of investor rights is available in English at https://am.jpmorgan.com/lu/investor-rights. J.P. Morgan Asset Management may decide to terminate the arrangements made for the marketing of its collective investment undertakings. For Switzerland, the offer and marketing of Shares of the Fund in Switzerland will be exclusively made to, and directed at, qualified investors (the "Qualified Investors"), as defined in Article 10(3) and (3ter) of the Swiss Collective Investment Schemes Act ("CISA") and its implementing ordinance. Accordingly, the Fund/a Sub-Fund has not been and will not be registered with the Swiss Financial Market Supervisory Authority ("FINMA"). This document, the Prospectus and/or any other offering or marketing materials relating to the Shares of the Fund may be made available in Switzerland solely to Qualified Investors. In respect of the offer and marketing in Switzerland to qualified investors with an opting-out pursuant to Art. 5(1) of the Swiss Federal Act on Financial Services ("FinSA") and without any portfolio management or advisory relationship with a financial intermediary pursuant to Article 10(3ter) CISA, the Fund has appointed a Swiss representative and paying agent. Swiss representative: JPMorgan Asset Management (Switzerland) LLC, Dreikönigstrasse 37, CH-8002 Zurich / Swiss paying agent: J.P. Morgan (Suisse) SA, 35, rue de Rhone, CH-1204 Geneva. The legal documents as well as the latest annual and semi-annual financial reports, if any, of the Fund may be obtained free of charge from the Swiss representative. JPMorgan Asset Management (Switzerland) LLC in its capacity as entity marketing or offering Shares in the Fund in and from Switzerland receives remuneration which is paid out of the management fee as defined in the Fund documentation. Further information regarding this remuneration, including its calculation method, may be obtained upon written request from JPMorgan Asset Management (Switzerland) LLC. This communication is issued in Europe (excluding UK) by JPMorgan Asset Management (Europe) S.à r.l., 6 route de Trèves, L-2633 Senningerberg, Grand Duchy of Luxembourg, R.C.S. Luxembourg B27900, corporate capital EUR 10.000.000. This communication is issued in the UK by JPMorgan Asset Management (UK) Limited, which is authorised and regulated by the Financial Conduct Authority. Registered in England No. 01161446. Registered address: 25 Bank Street, Canary Wharf, London E14 5JP.
</t>
  </si>
  <si>
    <r>
      <t xml:space="preserve">Subscriptions are accepted on a quarterly basis, on the first day of each calendar quarter (1 January, 1 April, 1 July and 1 October, or if such day does not fall on a Business Day, the immediately following Business Day).
Prospective investors wishing to invest in the Sub-Fund must provide to the AIFM, by 14.30/2.30 p.m. C.E.T. on the Subscription Day , a subscription request (the “Subscription Notice”), in writing or by way of electronic means.
</t>
    </r>
    <r>
      <rPr>
        <sz val="9"/>
        <color rgb="FFC00000"/>
        <rFont val="Calibri"/>
        <family val="2"/>
        <scheme val="major"/>
      </rPr>
      <t xml:space="preserve">In addition to the quarterly Subscription Days, set out above, the AIFM will accept subscriptions into JPMorgan ELTIFs – Multi-Alternatives Fund on 3 November 2025 and 1 December 2025. </t>
    </r>
  </si>
  <si>
    <r>
      <t xml:space="preserve">The last day of March, June, September and December.
</t>
    </r>
    <r>
      <rPr>
        <sz val="9"/>
        <color rgb="FFC00000"/>
        <rFont val="Calibri"/>
        <family val="2"/>
        <scheme val="minor"/>
      </rPr>
      <t>In addition to the quarterly Subscription Days, set out above, the AIFM will accept subscriptions into JPMorgan ELTIFs – Multi-Alternatives Fund on 3 November 2025 and 1 December 2025. Subscriptions on these days will be valued on the last day of October and the last day of November respectively.</t>
    </r>
  </si>
  <si>
    <r>
      <t xml:space="preserve">The NAV release is normally expected 80 Days after the Subscription Day (or if such day does not fall on a Business Day, the immediately following Business Day).
</t>
    </r>
    <r>
      <rPr>
        <sz val="9"/>
        <color rgb="FFFF0000"/>
        <rFont val="Calibri"/>
        <family val="2"/>
        <scheme val="minor"/>
      </rPr>
      <t xml:space="preserve">In relation to the additional Subscription Day 3 November 2025 and 1 December 2025, the NAV release is expected on Business Day 12 of the following month
</t>
    </r>
    <r>
      <rPr>
        <sz val="9"/>
        <color theme="1" tint="0.14999847407452621"/>
        <rFont val="Calibri"/>
        <family val="2"/>
        <scheme val="minor"/>
      </rPr>
      <t>Note: On 1st July (first subscription day) the NAV per share was set with a launch NAV per share of 100 in the share class currency. The NAV was released on the same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</si>
</sst>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_(&quot;£&quot;* \(#,##0\);_(&quot;£&quot;* &quot;-&quot;_);_(@_)"/>
    <numFmt numFmtId="165" formatCode="_(&quot;£&quot;* #,##0.00_);_(&quot;£&quot;* \(#,##0.00\);_(&quot;£&quot;* &quot;-&quot;??_);_(@_)"/>
    <numFmt numFmtId="166" formatCode="_(* #,##0_);_(* \(#,##0\);_(* &quot;-&quot;_);_(@_)"/>
    <numFmt numFmtId="167" formatCode="_(* #,##0.00_);_(* \(#,##0.00\);_(* &quot;-&quot;??_);_(@_)"/>
    <numFmt numFmtId="168" formatCode=";;;"/>
    <numFmt numFmtId="169" formatCode="d"/>
    <numFmt numFmtId="170" formatCode="[$-F800]dddd\,\ mmmm\ dd\,\ yyyy"/>
  </numFmts>
  <fonts count="45" x14ac:knownFonts="1">
    <font>
      <sz val="8"/>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sz val="12"/>
      <color theme="1"/>
      <name val="Calibri"/>
      <family val="2"/>
      <scheme val="major"/>
    </font>
    <font>
      <sz val="8"/>
      <color theme="0"/>
      <name val="Calibri"/>
      <family val="2"/>
      <scheme val="minor"/>
    </font>
    <font>
      <sz val="9"/>
      <color theme="1" tint="0.14999847407452621"/>
      <name val="Calibri"/>
      <family val="2"/>
      <scheme val="minor"/>
    </font>
    <font>
      <i/>
      <sz val="10"/>
      <color theme="8" tint="-0.499984740745262"/>
      <name val="Calibri"/>
      <family val="2"/>
      <scheme val="minor"/>
    </font>
    <font>
      <b/>
      <sz val="8"/>
      <color theme="1" tint="0.34998626667073579"/>
      <name val="Calibri"/>
      <family val="2"/>
      <scheme val="minor"/>
    </font>
    <font>
      <b/>
      <sz val="13"/>
      <color theme="3"/>
      <name val="Calibri"/>
      <family val="2"/>
      <scheme val="minor"/>
    </font>
    <font>
      <b/>
      <sz val="11"/>
      <color theme="1"/>
      <name val="Calibri"/>
      <family val="2"/>
      <scheme val="minor"/>
    </font>
    <font>
      <sz val="8"/>
      <color theme="1"/>
      <name val="Calibri"/>
      <family val="2"/>
      <scheme val="minor"/>
    </font>
    <font>
      <sz val="18"/>
      <color theme="3"/>
      <name val="Calibri"/>
      <family val="2"/>
      <scheme val="major"/>
    </font>
    <font>
      <b/>
      <sz val="15"/>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9"/>
      <color rgb="FFFFFFFF"/>
      <name val="Arial"/>
      <family val="2"/>
    </font>
    <font>
      <sz val="9"/>
      <color rgb="FF000000"/>
      <name val="Calibri"/>
      <family val="2"/>
      <scheme val="major"/>
    </font>
    <font>
      <sz val="10"/>
      <color rgb="FF000000"/>
      <name val="Times New Roman"/>
      <family val="1"/>
    </font>
    <font>
      <b/>
      <sz val="20"/>
      <color theme="0"/>
      <name val="Calibri"/>
      <family val="2"/>
      <scheme val="major"/>
    </font>
    <font>
      <b/>
      <sz val="9.5"/>
      <name val="Calibri"/>
      <family val="2"/>
      <scheme val="major"/>
    </font>
    <font>
      <b/>
      <sz val="12"/>
      <name val="Calibri"/>
      <family val="2"/>
      <scheme val="major"/>
    </font>
    <font>
      <b/>
      <sz val="16"/>
      <color theme="0"/>
      <name val="Calibri"/>
      <family val="2"/>
      <scheme val="major"/>
    </font>
    <font>
      <sz val="8"/>
      <color rgb="FF000000"/>
      <name val="Calibri"/>
      <family val="2"/>
      <scheme val="minor"/>
    </font>
    <font>
      <i/>
      <sz val="8"/>
      <color rgb="FFFF0000"/>
      <name val="Calibri"/>
      <family val="2"/>
      <scheme val="minor"/>
    </font>
    <font>
      <b/>
      <sz val="8"/>
      <color theme="1"/>
      <name val="Calibri"/>
      <family val="2"/>
      <scheme val="minor"/>
    </font>
    <font>
      <sz val="9"/>
      <color rgb="FF000000"/>
      <name val="Arial"/>
      <family val="2"/>
    </font>
    <font>
      <sz val="11"/>
      <color rgb="FF383A42"/>
      <name val="Courier New"/>
      <family val="3"/>
    </font>
    <font>
      <sz val="6"/>
      <color theme="1"/>
      <name val="Calibri"/>
      <family val="2"/>
      <scheme val="minor"/>
    </font>
    <font>
      <b/>
      <sz val="12"/>
      <color theme="0"/>
      <name val="Calibri"/>
      <family val="2"/>
      <scheme val="major"/>
    </font>
    <font>
      <sz val="6"/>
      <color rgb="FF000000"/>
      <name val="Calibri"/>
      <family val="2"/>
      <scheme val="minor"/>
    </font>
    <font>
      <sz val="7"/>
      <color theme="1"/>
      <name val="Calibri"/>
      <family val="2"/>
      <scheme val="minor"/>
    </font>
    <font>
      <sz val="9"/>
      <color rgb="FFC00000"/>
      <name val="Calibri"/>
      <family val="2"/>
      <scheme val="minor"/>
    </font>
    <font>
      <sz val="9"/>
      <color rgb="FFC00000"/>
      <name val="Calibri"/>
      <family val="2"/>
      <scheme val="major"/>
    </font>
    <font>
      <sz val="9"/>
      <color rgb="FFFF000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09090"/>
      </patternFill>
    </fill>
    <fill>
      <patternFill patternType="solid">
        <fgColor rgb="FFFF0000"/>
        <bgColor indexed="64"/>
      </patternFill>
    </fill>
    <fill>
      <patternFill patternType="solid">
        <fgColor rgb="FF0092F9"/>
        <bgColor indexed="64"/>
      </patternFill>
    </fill>
    <fill>
      <patternFill patternType="solid">
        <fgColor rgb="FFEC8A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20">
    <border>
      <left/>
      <right/>
      <top/>
      <bottom/>
      <diagonal/>
    </border>
    <border>
      <left/>
      <right/>
      <top/>
      <bottom style="thick">
        <color theme="4" tint="0.499984740745262"/>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7">
    <xf numFmtId="0" fontId="0" fillId="0" borderId="0"/>
    <xf numFmtId="0" fontId="9" fillId="0" borderId="1" applyNumberFormat="0" applyFill="0" applyAlignment="0" applyProtection="0"/>
    <xf numFmtId="167"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12"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6" borderId="5" applyNumberFormat="0" applyAlignment="0" applyProtection="0"/>
    <xf numFmtId="0" fontId="20" fillId="6" borderId="4" applyNumberFormat="0" applyAlignment="0" applyProtection="0"/>
    <xf numFmtId="0" fontId="21" fillId="0" borderId="6" applyNumberFormat="0" applyFill="0" applyAlignment="0" applyProtection="0"/>
    <xf numFmtId="0" fontId="22" fillId="7" borderId="7" applyNumberFormat="0" applyAlignment="0" applyProtection="0"/>
    <xf numFmtId="0" fontId="23" fillId="0" borderId="0" applyNumberFormat="0" applyFill="0" applyBorder="0" applyAlignment="0" applyProtection="0"/>
    <xf numFmtId="0" fontId="11" fillId="8" borderId="8" applyNumberFormat="0" applyFont="0" applyAlignment="0" applyProtection="0"/>
    <xf numFmtId="0" fontId="24" fillId="0" borderId="0" applyNumberFormat="0" applyFill="0" applyBorder="0" applyAlignment="0" applyProtection="0"/>
    <xf numFmtId="0" fontId="10" fillId="0" borderId="9" applyNumberFormat="0" applyFill="0" applyAlignment="0" applyProtection="0"/>
    <xf numFmtId="0" fontId="2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2">
    <xf numFmtId="0" fontId="0" fillId="0" borderId="0" xfId="0"/>
    <xf numFmtId="0" fontId="0" fillId="0" borderId="0" xfId="0" applyFont="1"/>
    <xf numFmtId="0" fontId="0" fillId="0" borderId="0" xfId="0" applyFont="1" applyFill="1" applyBorder="1"/>
    <xf numFmtId="0" fontId="4" fillId="0" borderId="0" xfId="0" applyFont="1" applyFill="1" applyBorder="1" applyAlignment="1"/>
    <xf numFmtId="0" fontId="8" fillId="0" borderId="0" xfId="0" applyFont="1" applyFill="1" applyBorder="1" applyAlignment="1">
      <alignment horizontal="center"/>
    </xf>
    <xf numFmtId="168" fontId="0" fillId="0" borderId="0" xfId="0" applyNumberFormat="1" applyFont="1" applyAlignment="1">
      <alignment wrapText="1"/>
    </xf>
    <xf numFmtId="168" fontId="2" fillId="0" borderId="0" xfId="0" applyNumberFormat="1" applyFont="1" applyAlignment="1">
      <alignment vertical="center"/>
    </xf>
    <xf numFmtId="168" fontId="0" fillId="0" borderId="0" xfId="0" applyNumberFormat="1" applyFont="1" applyAlignment="1"/>
    <xf numFmtId="0" fontId="0" fillId="0" borderId="0" xfId="0" applyFont="1" applyFill="1" applyBorder="1" applyAlignment="1">
      <alignment horizontal="center"/>
    </xf>
    <xf numFmtId="169" fontId="0" fillId="0" borderId="0" xfId="0" applyNumberFormat="1" applyFont="1" applyFill="1" applyBorder="1"/>
    <xf numFmtId="169" fontId="0" fillId="0" borderId="0" xfId="0" applyNumberFormat="1" applyFont="1" applyFill="1" applyBorder="1" applyAlignment="1">
      <alignment horizontal="center"/>
    </xf>
    <xf numFmtId="0" fontId="0" fillId="0" borderId="0" xfId="0" applyFont="1" applyAlignment="1">
      <alignment vertical="top"/>
    </xf>
    <xf numFmtId="169" fontId="5" fillId="0" borderId="0" xfId="0" applyNumberFormat="1" applyFont="1" applyFill="1" applyBorder="1" applyAlignment="1">
      <alignment horizontal="center"/>
    </xf>
    <xf numFmtId="169" fontId="0" fillId="34" borderId="0" xfId="0" applyNumberFormat="1" applyFont="1" applyFill="1" applyBorder="1" applyAlignment="1">
      <alignment horizontal="center"/>
    </xf>
    <xf numFmtId="0" fontId="0" fillId="0" borderId="0" xfId="0" applyAlignment="1">
      <alignment vertical="top"/>
    </xf>
    <xf numFmtId="0" fontId="7" fillId="0" borderId="0" xfId="0" applyFont="1" applyBorder="1" applyAlignment="1">
      <alignment horizontal="left" vertical="center" indent="2"/>
    </xf>
    <xf numFmtId="0" fontId="8" fillId="0" borderId="15" xfId="0" applyFont="1" applyFill="1" applyBorder="1" applyAlignment="1">
      <alignment horizontal="center"/>
    </xf>
    <xf numFmtId="169" fontId="0" fillId="0" borderId="15" xfId="0" applyNumberFormat="1" applyFont="1" applyFill="1" applyBorder="1" applyAlignment="1">
      <alignment horizontal="center"/>
    </xf>
    <xf numFmtId="0" fontId="0" fillId="0" borderId="0" xfId="0" applyFont="1" applyBorder="1"/>
    <xf numFmtId="0" fontId="0" fillId="0" borderId="15" xfId="0" applyFont="1" applyBorder="1"/>
    <xf numFmtId="0" fontId="31" fillId="0" borderId="0" xfId="0" applyFont="1" applyFill="1" applyBorder="1" applyAlignment="1"/>
    <xf numFmtId="169" fontId="3" fillId="0" borderId="0" xfId="0" applyNumberFormat="1" applyFont="1" applyFill="1" applyBorder="1"/>
    <xf numFmtId="169" fontId="3" fillId="0" borderId="0" xfId="0" applyNumberFormat="1" applyFont="1" applyFill="1" applyBorder="1" applyAlignment="1">
      <alignment horizontal="center"/>
    </xf>
    <xf numFmtId="169" fontId="0" fillId="35" borderId="0" xfId="0" applyNumberFormat="1" applyFont="1" applyFill="1" applyBorder="1" applyAlignment="1">
      <alignment horizontal="center"/>
    </xf>
    <xf numFmtId="0" fontId="0" fillId="0" borderId="0" xfId="0" applyBorder="1"/>
    <xf numFmtId="0" fontId="0" fillId="0" borderId="16" xfId="0" applyBorder="1"/>
    <xf numFmtId="0" fontId="8" fillId="0" borderId="16" xfId="0" applyFont="1" applyFill="1" applyBorder="1" applyAlignment="1">
      <alignment horizontal="center"/>
    </xf>
    <xf numFmtId="169" fontId="0" fillId="0" borderId="16" xfId="0" applyNumberFormat="1" applyFont="1" applyFill="1" applyBorder="1" applyAlignment="1">
      <alignment horizontal="center"/>
    </xf>
    <xf numFmtId="0" fontId="29" fillId="35" borderId="12" xfId="0" applyFont="1" applyFill="1" applyBorder="1" applyAlignment="1">
      <alignment vertical="center"/>
    </xf>
    <xf numFmtId="169" fontId="0" fillId="36" borderId="0" xfId="0" applyNumberFormat="1" applyFont="1" applyFill="1" applyBorder="1" applyAlignment="1">
      <alignment horizontal="center"/>
    </xf>
    <xf numFmtId="169" fontId="0" fillId="37" borderId="0" xfId="0" applyNumberFormat="1" applyFont="1" applyFill="1" applyBorder="1" applyAlignment="1">
      <alignment horizontal="center"/>
    </xf>
    <xf numFmtId="0" fontId="26" fillId="33" borderId="11" xfId="0" applyFont="1" applyFill="1" applyBorder="1"/>
    <xf numFmtId="0" fontId="28" fillId="37" borderId="13" xfId="0" applyFont="1" applyFill="1" applyBorder="1" applyAlignment="1">
      <alignment vertical="center" wrapText="1"/>
    </xf>
    <xf numFmtId="0" fontId="28" fillId="35" borderId="10" xfId="0" applyFont="1" applyFill="1" applyBorder="1" applyAlignment="1">
      <alignment vertical="center" wrapText="1"/>
    </xf>
    <xf numFmtId="169" fontId="0" fillId="36" borderId="10" xfId="0" applyNumberFormat="1" applyFont="1" applyFill="1" applyBorder="1" applyAlignment="1">
      <alignment horizontal="center"/>
    </xf>
    <xf numFmtId="0" fontId="0" fillId="34" borderId="10" xfId="0" applyFont="1" applyFill="1" applyBorder="1" applyAlignment="1">
      <alignment horizontal="center"/>
    </xf>
    <xf numFmtId="0" fontId="0" fillId="0" borderId="15" xfId="0" applyBorder="1"/>
    <xf numFmtId="0" fontId="29" fillId="35" borderId="13" xfId="0" applyFont="1" applyFill="1" applyBorder="1" applyAlignment="1">
      <alignment vertical="center"/>
    </xf>
    <xf numFmtId="0" fontId="0" fillId="0" borderId="15" xfId="0" applyBorder="1" applyAlignment="1">
      <alignment horizontal="center"/>
    </xf>
    <xf numFmtId="0" fontId="0" fillId="38" borderId="15" xfId="0" applyFill="1" applyBorder="1" applyAlignment="1">
      <alignment horizontal="center"/>
    </xf>
    <xf numFmtId="14" fontId="0" fillId="38" borderId="16" xfId="0" applyNumberFormat="1" applyFill="1" applyBorder="1" applyAlignment="1">
      <alignment horizontal="left"/>
    </xf>
    <xf numFmtId="22" fontId="0" fillId="38" borderId="16" xfId="0" applyNumberFormat="1" applyFill="1" applyBorder="1" applyAlignment="1">
      <alignment horizontal="left"/>
    </xf>
    <xf numFmtId="0" fontId="0" fillId="0" borderId="16" xfId="0" applyBorder="1" applyAlignment="1">
      <alignment horizontal="left"/>
    </xf>
    <xf numFmtId="0" fontId="0" fillId="0" borderId="0" xfId="0" applyBorder="1" applyAlignment="1">
      <alignment horizontal="center"/>
    </xf>
    <xf numFmtId="0" fontId="0" fillId="0" borderId="17" xfId="0" applyFill="1" applyBorder="1" applyAlignment="1">
      <alignment horizontal="center"/>
    </xf>
    <xf numFmtId="0" fontId="32" fillId="35" borderId="12" xfId="0" applyFont="1" applyFill="1" applyBorder="1" applyAlignment="1">
      <alignment vertical="center"/>
    </xf>
    <xf numFmtId="0" fontId="0" fillId="38" borderId="0" xfId="0" applyFill="1" applyBorder="1" applyAlignment="1">
      <alignment horizontal="center"/>
    </xf>
    <xf numFmtId="0" fontId="0" fillId="0" borderId="18" xfId="0" applyFill="1" applyBorder="1" applyAlignment="1">
      <alignment horizontal="right"/>
    </xf>
    <xf numFmtId="14" fontId="0" fillId="0" borderId="16" xfId="0" applyNumberFormat="1" applyBorder="1" applyAlignment="1" applyProtection="1">
      <alignment horizontal="left"/>
      <protection hidden="1"/>
    </xf>
    <xf numFmtId="0" fontId="0" fillId="0" borderId="16" xfId="0" applyBorder="1" applyProtection="1">
      <protection hidden="1"/>
    </xf>
    <xf numFmtId="14" fontId="0" fillId="0" borderId="19" xfId="0" applyNumberFormat="1" applyBorder="1" applyAlignment="1" applyProtection="1">
      <alignment horizontal="left"/>
      <protection hidden="1"/>
    </xf>
    <xf numFmtId="22" fontId="0" fillId="0" borderId="0" xfId="0" applyNumberFormat="1"/>
    <xf numFmtId="0" fontId="34" fillId="0" borderId="15" xfId="0" applyFont="1" applyBorder="1" applyAlignment="1">
      <alignment vertical="center"/>
    </xf>
    <xf numFmtId="0" fontId="26" fillId="33" borderId="10" xfId="0" applyFont="1" applyFill="1" applyBorder="1"/>
    <xf numFmtId="14" fontId="0" fillId="0" borderId="0" xfId="0" applyNumberFormat="1" applyFont="1"/>
    <xf numFmtId="0" fontId="35" fillId="0" borderId="0" xfId="0" applyFont="1" applyAlignment="1">
      <alignment vertical="center" wrapText="1"/>
    </xf>
    <xf numFmtId="0" fontId="36" fillId="0" borderId="0" xfId="0" applyFont="1"/>
    <xf numFmtId="14" fontId="0" fillId="0" borderId="0" xfId="0" applyNumberFormat="1"/>
    <xf numFmtId="14" fontId="0" fillId="0" borderId="0" xfId="0" applyNumberFormat="1" applyAlignment="1">
      <alignment vertical="center" wrapText="1"/>
    </xf>
    <xf numFmtId="170" fontId="0" fillId="0" borderId="0" xfId="0" applyNumberFormat="1"/>
    <xf numFmtId="14" fontId="37" fillId="0" borderId="0" xfId="0" applyNumberFormat="1" applyFont="1"/>
    <xf numFmtId="0" fontId="0" fillId="0" borderId="0" xfId="0" applyBorder="1" applyAlignment="1">
      <alignment wrapText="1"/>
    </xf>
    <xf numFmtId="0" fontId="0" fillId="39" borderId="0" xfId="0" applyFill="1" applyAlignment="1">
      <alignment horizontal="center" vertical="center"/>
    </xf>
    <xf numFmtId="0" fontId="0" fillId="39" borderId="16" xfId="0" applyNumberFormat="1" applyFill="1" applyBorder="1" applyAlignment="1" applyProtection="1">
      <alignment horizontal="center" vertical="center"/>
      <protection locked="0"/>
    </xf>
    <xf numFmtId="0" fontId="33" fillId="0" borderId="0" xfId="0" applyFont="1" applyAlignment="1">
      <alignment horizontal="left" vertical="top" wrapText="1"/>
    </xf>
    <xf numFmtId="0" fontId="0" fillId="0" borderId="0" xfId="0" applyAlignment="1">
      <alignment wrapText="1"/>
    </xf>
    <xf numFmtId="0" fontId="39" fillId="35" borderId="11" xfId="0" applyFont="1" applyFill="1" applyBorder="1" applyAlignment="1">
      <alignment vertical="center"/>
    </xf>
    <xf numFmtId="0" fontId="38" fillId="0" borderId="0" xfId="0" applyFont="1" applyAlignment="1"/>
    <xf numFmtId="0" fontId="38" fillId="0" borderId="0" xfId="0" applyFont="1" applyBorder="1" applyAlignment="1">
      <alignment vertical="top"/>
    </xf>
    <xf numFmtId="169" fontId="0" fillId="40" borderId="0" xfId="0" applyNumberFormat="1" applyFont="1" applyFill="1" applyBorder="1" applyAlignment="1">
      <alignment horizontal="center"/>
    </xf>
    <xf numFmtId="169" fontId="3" fillId="40" borderId="0" xfId="0" applyNumberFormat="1" applyFont="1" applyFill="1" applyBorder="1" applyAlignment="1">
      <alignment horizontal="center"/>
    </xf>
    <xf numFmtId="0" fontId="32" fillId="35" borderId="11" xfId="0" applyFont="1" applyFill="1" applyBorder="1" applyAlignment="1">
      <alignment horizontal="center" vertical="center" wrapText="1"/>
    </xf>
    <xf numFmtId="0" fontId="29" fillId="35" borderId="12" xfId="0" applyFont="1" applyFill="1" applyBorder="1" applyAlignment="1">
      <alignment horizontal="center" vertical="center" wrapText="1"/>
    </xf>
    <xf numFmtId="0" fontId="29" fillId="35" borderId="12" xfId="0" applyFont="1" applyFill="1" applyBorder="1" applyAlignment="1">
      <alignment horizontal="right" vertical="center"/>
    </xf>
    <xf numFmtId="0" fontId="29" fillId="35" borderId="13" xfId="0" applyFont="1" applyFill="1" applyBorder="1" applyAlignment="1">
      <alignment horizontal="right" vertical="center"/>
    </xf>
    <xf numFmtId="0" fontId="30" fillId="0" borderId="15" xfId="0" applyFont="1" applyFill="1" applyBorder="1" applyAlignment="1">
      <alignment horizontal="left"/>
    </xf>
    <xf numFmtId="0" fontId="30" fillId="0" borderId="0" xfId="0" applyFont="1" applyFill="1" applyBorder="1" applyAlignment="1">
      <alignment horizontal="left"/>
    </xf>
    <xf numFmtId="0" fontId="30" fillId="0" borderId="16" xfId="0" applyFont="1" applyFill="1" applyBorder="1" applyAlignment="1">
      <alignment horizontal="left"/>
    </xf>
    <xf numFmtId="0" fontId="41" fillId="0" borderId="15" xfId="0" applyFont="1" applyBorder="1" applyAlignment="1">
      <alignment horizontal="center" vertical="top" wrapText="1"/>
    </xf>
    <xf numFmtId="0" fontId="41" fillId="0" borderId="0" xfId="0" applyFont="1" applyAlignment="1">
      <alignment horizontal="center" vertical="top" wrapText="1"/>
    </xf>
    <xf numFmtId="0" fontId="41" fillId="0" borderId="16" xfId="0" applyFont="1" applyBorder="1" applyAlignment="1">
      <alignment horizontal="center" vertical="top" wrapText="1"/>
    </xf>
    <xf numFmtId="0" fontId="41" fillId="0" borderId="17" xfId="0" applyFont="1" applyBorder="1" applyAlignment="1">
      <alignment horizontal="center" vertical="top" wrapText="1"/>
    </xf>
    <xf numFmtId="0" fontId="41" fillId="0" borderId="18" xfId="0" applyFont="1" applyBorder="1" applyAlignment="1">
      <alignment horizontal="center" vertical="top" wrapText="1"/>
    </xf>
    <xf numFmtId="0" fontId="41" fillId="0" borderId="19" xfId="0" applyFont="1" applyBorder="1" applyAlignment="1">
      <alignment horizontal="center" vertical="top" wrapText="1"/>
    </xf>
    <xf numFmtId="49" fontId="6" fillId="0" borderId="0" xfId="0" applyNumberFormat="1" applyFont="1" applyAlignment="1">
      <alignment horizontal="left" vertical="top" wrapText="1"/>
    </xf>
    <xf numFmtId="49" fontId="6" fillId="0" borderId="14" xfId="0" applyNumberFormat="1" applyFont="1" applyBorder="1" applyAlignment="1">
      <alignment horizontal="left" vertical="top" wrapText="1"/>
    </xf>
    <xf numFmtId="0" fontId="27" fillId="0" borderId="14" xfId="0" applyFont="1" applyBorder="1" applyAlignment="1">
      <alignment horizontal="left" vertical="top" wrapText="1"/>
    </xf>
    <xf numFmtId="0" fontId="27" fillId="0" borderId="0" xfId="0" applyFont="1" applyAlignment="1">
      <alignment horizontal="left" vertical="top" wrapText="1"/>
    </xf>
    <xf numFmtId="49" fontId="6" fillId="0" borderId="18" xfId="0" applyNumberFormat="1" applyFont="1" applyBorder="1" applyAlignment="1">
      <alignment horizontal="left" vertical="top" wrapText="1"/>
    </xf>
    <xf numFmtId="0" fontId="0" fillId="0" borderId="18" xfId="0" applyBorder="1" applyAlignment="1"/>
    <xf numFmtId="0" fontId="33" fillId="0" borderId="0" xfId="0" applyFont="1" applyAlignment="1">
      <alignment horizontal="left" vertical="top" wrapText="1"/>
    </xf>
    <xf numFmtId="0" fontId="40" fillId="0" borderId="0" xfId="0" applyFont="1" applyAlignment="1">
      <alignment horizontal="left" vertical="top" wrapTex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4" builtinId="4" customBuiltin="1"/>
    <cellStyle name="Currency [0]" xfId="5" builtinId="7" customBuiltin="1"/>
    <cellStyle name="Explanatory Text" xfId="21" builtinId="53" customBuiltin="1"/>
    <cellStyle name="Good" xfId="11" builtinId="26" customBuiltin="1"/>
    <cellStyle name="Heading 1" xfId="8" builtinId="16" customBuiltin="1"/>
    <cellStyle name="Heading 2" xfId="1"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6" builtinId="5" customBuiltin="1"/>
    <cellStyle name="Title" xfId="7" builtinId="15" customBuiltin="1"/>
    <cellStyle name="Total" xfId="22" builtinId="25" customBuiltin="1"/>
    <cellStyle name="Warning Text" xfId="19" builtinId="11" customBuiltin="1"/>
  </cellStyles>
  <dxfs count="216">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rgb="FF000000"/>
        <name val="Calibri"/>
        <family val="2"/>
        <scheme val="none"/>
      </font>
      <numFmt numFmtId="169" formatCode="d"/>
      <fill>
        <patternFill patternType="none">
          <fgColor rgb="FF000000"/>
          <bgColor rgb="FFFFFFFF"/>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Calibri"/>
        <family val="2"/>
        <scheme val="minor"/>
      </font>
      <numFmt numFmtId="169" formatCode="d"/>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8"/>
        <color theme="1" tint="0.34998626667073579"/>
        <name val="Calibri"/>
        <family val="2"/>
        <scheme val="minor"/>
      </font>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colors>
    <mruColors>
      <color rgb="FFEC8A00"/>
      <color rgb="FF0092F9"/>
      <color rgb="FFC5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2</xdr:col>
      <xdr:colOff>242455</xdr:colOff>
      <xdr:row>21</xdr:row>
      <xdr:rowOff>13044</xdr:rowOff>
    </xdr:from>
    <xdr:to>
      <xdr:col>4</xdr:col>
      <xdr:colOff>12162</xdr:colOff>
      <xdr:row>22</xdr:row>
      <xdr:rowOff>47876</xdr:rowOff>
    </xdr:to>
    <xdr:grpSp>
      <xdr:nvGrpSpPr>
        <xdr:cNvPr id="11" name="Group 10">
          <a:extLst>
            <a:ext uri="{FF2B5EF4-FFF2-40B4-BE49-F238E27FC236}">
              <a16:creationId xmlns:a16="http://schemas.microsoft.com/office/drawing/2014/main" id="{184CB847-9ECA-763F-4042-F310081E4BE2}"/>
            </a:ext>
          </a:extLst>
        </xdr:cNvPr>
        <xdr:cNvGrpSpPr/>
      </xdr:nvGrpSpPr>
      <xdr:grpSpPr>
        <a:xfrm>
          <a:off x="680605" y="4642194"/>
          <a:ext cx="265007" cy="225332"/>
          <a:chOff x="3183478" y="717797"/>
          <a:chExt cx="235550" cy="257339"/>
        </a:xfrm>
      </xdr:grpSpPr>
      <xdr:grpSp>
        <xdr:nvGrpSpPr>
          <xdr:cNvPr id="5" name="Group 4">
            <a:extLst>
              <a:ext uri="{FF2B5EF4-FFF2-40B4-BE49-F238E27FC236}">
                <a16:creationId xmlns:a16="http://schemas.microsoft.com/office/drawing/2014/main" id="{88E3FA61-890F-5513-83E9-29F1C22D00D2}"/>
              </a:ext>
            </a:extLst>
          </xdr:cNvPr>
          <xdr:cNvGrpSpPr/>
        </xdr:nvGrpSpPr>
        <xdr:grpSpPr>
          <a:xfrm>
            <a:off x="3183478" y="717797"/>
            <a:ext cx="235550" cy="215797"/>
            <a:chOff x="3183478" y="717797"/>
            <a:chExt cx="235550" cy="215797"/>
          </a:xfrm>
        </xdr:grpSpPr>
        <xdr:sp macro="" textlink="">
          <xdr:nvSpPr>
            <xdr:cNvPr id="2" name="Right Triangle 1">
              <a:extLst>
                <a:ext uri="{FF2B5EF4-FFF2-40B4-BE49-F238E27FC236}">
                  <a16:creationId xmlns:a16="http://schemas.microsoft.com/office/drawing/2014/main" id="{DD058098-2924-4BD9-E3CB-609AE8673B9D}"/>
                </a:ext>
              </a:extLst>
            </xdr:cNvPr>
            <xdr:cNvSpPr/>
          </xdr:nvSpPr>
          <xdr:spPr>
            <a:xfrm rot="10800000">
              <a:off x="3183478" y="717797"/>
              <a:ext cx="231513" cy="210206"/>
            </a:xfrm>
            <a:prstGeom prst="rtTriangle">
              <a:avLst/>
            </a:prstGeom>
            <a:solidFill>
              <a:srgbClr val="0092F9"/>
            </a:solidFill>
            <a:ln cmpd="sng">
              <a:noFill/>
              <a:prstDash val="solid"/>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 name="Right Triangle 2">
              <a:extLst>
                <a:ext uri="{FF2B5EF4-FFF2-40B4-BE49-F238E27FC236}">
                  <a16:creationId xmlns:a16="http://schemas.microsoft.com/office/drawing/2014/main" id="{DDE43475-AD20-479C-9272-C1064CADBEE4}"/>
                </a:ext>
              </a:extLst>
            </xdr:cNvPr>
            <xdr:cNvSpPr/>
          </xdr:nvSpPr>
          <xdr:spPr>
            <a:xfrm>
              <a:off x="3187515" y="723388"/>
              <a:ext cx="231513" cy="210206"/>
            </a:xfrm>
            <a:prstGeom prst="rtTriangle">
              <a:avLst/>
            </a:prstGeom>
            <a:solidFill>
              <a:srgbClr val="EC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sp macro="" textlink="">
        <xdr:nvSpPr>
          <xdr:cNvPr id="6" name="TextBox 5">
            <a:extLst>
              <a:ext uri="{FF2B5EF4-FFF2-40B4-BE49-F238E27FC236}">
                <a16:creationId xmlns:a16="http://schemas.microsoft.com/office/drawing/2014/main" id="{02711A77-7F97-AFF3-133F-28C3832F5EF9}"/>
              </a:ext>
            </a:extLst>
          </xdr:cNvPr>
          <xdr:cNvSpPr txBox="1"/>
        </xdr:nvSpPr>
        <xdr:spPr>
          <a:xfrm>
            <a:off x="3200963" y="726673"/>
            <a:ext cx="182394" cy="248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800"/>
              <a:t>1</a:t>
            </a:r>
          </a:p>
        </xdr:txBody>
      </xdr:sp>
    </xdr:grpSp>
    <xdr:clientData/>
  </xdr:twoCellAnchor>
  <xdr:twoCellAnchor>
    <xdr:from>
      <xdr:col>25</xdr:col>
      <xdr:colOff>199160</xdr:colOff>
      <xdr:row>31</xdr:row>
      <xdr:rowOff>147206</xdr:rowOff>
    </xdr:from>
    <xdr:to>
      <xdr:col>26</xdr:col>
      <xdr:colOff>1272887</xdr:colOff>
      <xdr:row>34</xdr:row>
      <xdr:rowOff>138546</xdr:rowOff>
    </xdr:to>
    <xdr:grpSp>
      <xdr:nvGrpSpPr>
        <xdr:cNvPr id="21" name="Group 20">
          <a:extLst>
            <a:ext uri="{FF2B5EF4-FFF2-40B4-BE49-F238E27FC236}">
              <a16:creationId xmlns:a16="http://schemas.microsoft.com/office/drawing/2014/main" id="{31224AC3-6F17-4F02-B209-333D7B902B57}"/>
            </a:ext>
          </a:extLst>
        </xdr:cNvPr>
        <xdr:cNvGrpSpPr>
          <a:grpSpLocks/>
        </xdr:cNvGrpSpPr>
      </xdr:nvGrpSpPr>
      <xdr:grpSpPr>
        <a:xfrm>
          <a:off x="6333260" y="6681356"/>
          <a:ext cx="1369002" cy="562840"/>
          <a:chOff x="0" y="0"/>
          <a:chExt cx="1946275" cy="668020"/>
        </a:xfrm>
      </xdr:grpSpPr>
      <xdr:sp macro="" textlink="">
        <xdr:nvSpPr>
          <xdr:cNvPr id="22" name="Graphic 3">
            <a:extLst>
              <a:ext uri="{FF2B5EF4-FFF2-40B4-BE49-F238E27FC236}">
                <a16:creationId xmlns:a16="http://schemas.microsoft.com/office/drawing/2014/main" id="{8A3CC9C8-E168-2211-1674-43BAB304174E}"/>
              </a:ext>
            </a:extLst>
          </xdr:cNvPr>
          <xdr:cNvSpPr/>
        </xdr:nvSpPr>
        <xdr:spPr>
          <a:xfrm>
            <a:off x="0" y="0"/>
            <a:ext cx="1946275" cy="668020"/>
          </a:xfrm>
          <a:custGeom>
            <a:avLst/>
            <a:gdLst/>
            <a:ahLst/>
            <a:cxnLst/>
            <a:rect l="l" t="t" r="r" b="b"/>
            <a:pathLst>
              <a:path w="1946275" h="668020">
                <a:moveTo>
                  <a:pt x="1945728" y="0"/>
                </a:moveTo>
                <a:lnTo>
                  <a:pt x="0" y="0"/>
                </a:lnTo>
                <a:lnTo>
                  <a:pt x="0" y="667943"/>
                </a:lnTo>
                <a:lnTo>
                  <a:pt x="1945728" y="667943"/>
                </a:lnTo>
                <a:lnTo>
                  <a:pt x="1945728" y="0"/>
                </a:lnTo>
                <a:close/>
              </a:path>
            </a:pathLst>
          </a:custGeom>
          <a:solidFill>
            <a:srgbClr val="FFFFFF"/>
          </a:solidFill>
        </xdr:spPr>
        <xdr:txBody>
          <a:bodyPr wrap="square" lIns="0" tIns="0" rIns="0" bIns="0" rtlCol="0">
            <a:prstTxWarp prst="textNoShape">
              <a:avLst/>
            </a:prstTxWarp>
            <a:noAutofit/>
          </a:bodyPr>
          <a:lstStyle/>
          <a:p>
            <a:endParaRPr lang="en-GB"/>
          </a:p>
        </xdr:txBody>
      </xdr:sp>
      <xdr:pic>
        <xdr:nvPicPr>
          <xdr:cNvPr id="23" name="Image 4">
            <a:extLst>
              <a:ext uri="{FF2B5EF4-FFF2-40B4-BE49-F238E27FC236}">
                <a16:creationId xmlns:a16="http://schemas.microsoft.com/office/drawing/2014/main" id="{AC1B7565-0538-42F5-7404-EB58670474C7}"/>
              </a:ext>
            </a:extLst>
          </xdr:cNvPr>
          <xdr:cNvPicPr/>
        </xdr:nvPicPr>
        <xdr:blipFill>
          <a:blip xmlns:r="http://schemas.openxmlformats.org/officeDocument/2006/relationships" r:embed="rId1" cstate="print"/>
          <a:stretch>
            <a:fillRect/>
          </a:stretch>
        </xdr:blipFill>
        <xdr:spPr>
          <a:xfrm>
            <a:off x="304342" y="88446"/>
            <a:ext cx="1491070" cy="312674"/>
          </a:xfrm>
          <a:prstGeom prst="rect">
            <a:avLst/>
          </a:prstGeom>
        </xdr:spPr>
      </xdr:pic>
      <xdr:pic>
        <xdr:nvPicPr>
          <xdr:cNvPr id="24" name="Image 5">
            <a:extLst>
              <a:ext uri="{FF2B5EF4-FFF2-40B4-BE49-F238E27FC236}">
                <a16:creationId xmlns:a16="http://schemas.microsoft.com/office/drawing/2014/main" id="{D9981AF8-D86F-F39E-7D70-FD06E79810CD}"/>
              </a:ext>
            </a:extLst>
          </xdr:cNvPr>
          <xdr:cNvPicPr/>
        </xdr:nvPicPr>
        <xdr:blipFill>
          <a:blip xmlns:r="http://schemas.openxmlformats.org/officeDocument/2006/relationships" r:embed="rId2" cstate="print"/>
          <a:stretch>
            <a:fillRect/>
          </a:stretch>
        </xdr:blipFill>
        <xdr:spPr>
          <a:xfrm>
            <a:off x="308622" y="465708"/>
            <a:ext cx="256774" cy="113792"/>
          </a:xfrm>
          <a:prstGeom prst="rect">
            <a:avLst/>
          </a:prstGeom>
        </xdr:spPr>
      </xdr:pic>
      <xdr:pic>
        <xdr:nvPicPr>
          <xdr:cNvPr id="25" name="Image 6">
            <a:extLst>
              <a:ext uri="{FF2B5EF4-FFF2-40B4-BE49-F238E27FC236}">
                <a16:creationId xmlns:a16="http://schemas.microsoft.com/office/drawing/2014/main" id="{AEE09013-1397-4957-8DAA-D8445D996C76}"/>
              </a:ext>
            </a:extLst>
          </xdr:cNvPr>
          <xdr:cNvPicPr/>
        </xdr:nvPicPr>
        <xdr:blipFill>
          <a:blip xmlns:r="http://schemas.openxmlformats.org/officeDocument/2006/relationships" r:embed="rId3" cstate="print"/>
          <a:stretch>
            <a:fillRect/>
          </a:stretch>
        </xdr:blipFill>
        <xdr:spPr>
          <a:xfrm>
            <a:off x="588258" y="467366"/>
            <a:ext cx="153155" cy="109780"/>
          </a:xfrm>
          <a:prstGeom prst="rect">
            <a:avLst/>
          </a:prstGeom>
        </xdr:spPr>
      </xdr:pic>
      <xdr:pic>
        <xdr:nvPicPr>
          <xdr:cNvPr id="26" name="Image 7">
            <a:extLst>
              <a:ext uri="{FF2B5EF4-FFF2-40B4-BE49-F238E27FC236}">
                <a16:creationId xmlns:a16="http://schemas.microsoft.com/office/drawing/2014/main" id="{EE3566D8-6635-3D38-4732-56131629ACE4}"/>
              </a:ext>
            </a:extLst>
          </xdr:cNvPr>
          <xdr:cNvPicPr/>
        </xdr:nvPicPr>
        <xdr:blipFill>
          <a:blip xmlns:r="http://schemas.openxmlformats.org/officeDocument/2006/relationships" r:embed="rId4" cstate="print"/>
          <a:stretch>
            <a:fillRect/>
          </a:stretch>
        </xdr:blipFill>
        <xdr:spPr>
          <a:xfrm>
            <a:off x="806505" y="467723"/>
            <a:ext cx="95808" cy="109423"/>
          </a:xfrm>
          <a:prstGeom prst="rect">
            <a:avLst/>
          </a:prstGeom>
        </xdr:spPr>
      </xdr:pic>
      <xdr:pic>
        <xdr:nvPicPr>
          <xdr:cNvPr id="27" name="Image 8">
            <a:extLst>
              <a:ext uri="{FF2B5EF4-FFF2-40B4-BE49-F238E27FC236}">
                <a16:creationId xmlns:a16="http://schemas.microsoft.com/office/drawing/2014/main" id="{690261D2-172F-F31B-2B67-436BF988F843}"/>
              </a:ext>
            </a:extLst>
          </xdr:cNvPr>
          <xdr:cNvPicPr/>
        </xdr:nvPicPr>
        <xdr:blipFill>
          <a:blip xmlns:r="http://schemas.openxmlformats.org/officeDocument/2006/relationships" r:embed="rId5" cstate="print"/>
          <a:stretch>
            <a:fillRect/>
          </a:stretch>
        </xdr:blipFill>
        <xdr:spPr>
          <a:xfrm>
            <a:off x="1030897" y="467723"/>
            <a:ext cx="74802" cy="109423"/>
          </a:xfrm>
          <a:prstGeom prst="rect">
            <a:avLst/>
          </a:prstGeom>
        </xdr:spPr>
      </xdr:pic>
      <xdr:pic>
        <xdr:nvPicPr>
          <xdr:cNvPr id="28" name="Image 9">
            <a:extLst>
              <a:ext uri="{FF2B5EF4-FFF2-40B4-BE49-F238E27FC236}">
                <a16:creationId xmlns:a16="http://schemas.microsoft.com/office/drawing/2014/main" id="{639E72AA-48DA-D17E-6150-A84CC634499D}"/>
              </a:ext>
            </a:extLst>
          </xdr:cNvPr>
          <xdr:cNvPicPr/>
        </xdr:nvPicPr>
        <xdr:blipFill>
          <a:blip xmlns:r="http://schemas.openxmlformats.org/officeDocument/2006/relationships" r:embed="rId6" cstate="print"/>
          <a:stretch>
            <a:fillRect/>
          </a:stretch>
        </xdr:blipFill>
        <xdr:spPr>
          <a:xfrm>
            <a:off x="923326" y="467718"/>
            <a:ext cx="86728" cy="109423"/>
          </a:xfrm>
          <a:prstGeom prst="rect">
            <a:avLst/>
          </a:prstGeom>
        </xdr:spPr>
      </xdr:pic>
      <xdr:pic>
        <xdr:nvPicPr>
          <xdr:cNvPr id="29" name="Image 10">
            <a:extLst>
              <a:ext uri="{FF2B5EF4-FFF2-40B4-BE49-F238E27FC236}">
                <a16:creationId xmlns:a16="http://schemas.microsoft.com/office/drawing/2014/main" id="{CEAB1DB9-5EB2-F74F-5BA8-F6E03FB62D5E}"/>
              </a:ext>
            </a:extLst>
          </xdr:cNvPr>
          <xdr:cNvPicPr/>
        </xdr:nvPicPr>
        <xdr:blipFill>
          <a:blip xmlns:r="http://schemas.openxmlformats.org/officeDocument/2006/relationships" r:embed="rId7" cstate="print"/>
          <a:stretch>
            <a:fillRect/>
          </a:stretch>
        </xdr:blipFill>
        <xdr:spPr>
          <a:xfrm>
            <a:off x="1126538" y="465703"/>
            <a:ext cx="176291" cy="113792"/>
          </a:xfrm>
          <a:prstGeom prst="rect">
            <a:avLst/>
          </a:prstGeom>
        </xdr:spPr>
      </xdr:pic>
      <xdr:pic>
        <xdr:nvPicPr>
          <xdr:cNvPr id="30" name="Image 11">
            <a:extLst>
              <a:ext uri="{FF2B5EF4-FFF2-40B4-BE49-F238E27FC236}">
                <a16:creationId xmlns:a16="http://schemas.microsoft.com/office/drawing/2014/main" id="{C559E360-2B75-B738-CB90-6DECE27BD4D3}"/>
              </a:ext>
            </a:extLst>
          </xdr:cNvPr>
          <xdr:cNvPicPr/>
        </xdr:nvPicPr>
        <xdr:blipFill>
          <a:blip xmlns:r="http://schemas.openxmlformats.org/officeDocument/2006/relationships" r:embed="rId8" cstate="print"/>
          <a:stretch>
            <a:fillRect/>
          </a:stretch>
        </xdr:blipFill>
        <xdr:spPr>
          <a:xfrm>
            <a:off x="1329410" y="467723"/>
            <a:ext cx="63868" cy="109423"/>
          </a:xfrm>
          <a:prstGeom prst="rect">
            <a:avLst/>
          </a:prstGeom>
        </xdr:spPr>
      </xdr:pic>
      <xdr:pic>
        <xdr:nvPicPr>
          <xdr:cNvPr id="31" name="Image 12">
            <a:extLst>
              <a:ext uri="{FF2B5EF4-FFF2-40B4-BE49-F238E27FC236}">
                <a16:creationId xmlns:a16="http://schemas.microsoft.com/office/drawing/2014/main" id="{EB2B8EB5-F777-B823-5B35-E02AB326C65C}"/>
              </a:ext>
            </a:extLst>
          </xdr:cNvPr>
          <xdr:cNvPicPr/>
        </xdr:nvPicPr>
        <xdr:blipFill>
          <a:blip xmlns:r="http://schemas.openxmlformats.org/officeDocument/2006/relationships" r:embed="rId9" cstate="print"/>
          <a:stretch>
            <a:fillRect/>
          </a:stretch>
        </xdr:blipFill>
        <xdr:spPr>
          <a:xfrm>
            <a:off x="1415444" y="467723"/>
            <a:ext cx="95808" cy="109423"/>
          </a:xfrm>
          <a:prstGeom prst="rect">
            <a:avLst/>
          </a:prstGeom>
        </xdr:spPr>
      </xdr:pic>
      <xdr:pic>
        <xdr:nvPicPr>
          <xdr:cNvPr id="32" name="Image 13">
            <a:extLst>
              <a:ext uri="{FF2B5EF4-FFF2-40B4-BE49-F238E27FC236}">
                <a16:creationId xmlns:a16="http://schemas.microsoft.com/office/drawing/2014/main" id="{D72B7C55-CD8B-8479-7B45-8331EEFE60EF}"/>
              </a:ext>
            </a:extLst>
          </xdr:cNvPr>
          <xdr:cNvPicPr/>
        </xdr:nvPicPr>
        <xdr:blipFill>
          <a:blip xmlns:r="http://schemas.openxmlformats.org/officeDocument/2006/relationships" r:embed="rId10" cstate="print"/>
          <a:stretch>
            <a:fillRect/>
          </a:stretch>
        </xdr:blipFill>
        <xdr:spPr>
          <a:xfrm>
            <a:off x="1540703" y="467723"/>
            <a:ext cx="63868" cy="109423"/>
          </a:xfrm>
          <a:prstGeom prst="rect">
            <a:avLst/>
          </a:prstGeom>
        </xdr:spPr>
      </xdr:pic>
      <xdr:pic>
        <xdr:nvPicPr>
          <xdr:cNvPr id="33" name="Image 14">
            <a:extLst>
              <a:ext uri="{FF2B5EF4-FFF2-40B4-BE49-F238E27FC236}">
                <a16:creationId xmlns:a16="http://schemas.microsoft.com/office/drawing/2014/main" id="{3CC49DEA-4BF4-A1EF-22A9-E078D0833B2A}"/>
              </a:ext>
            </a:extLst>
          </xdr:cNvPr>
          <xdr:cNvPicPr/>
        </xdr:nvPicPr>
        <xdr:blipFill>
          <a:blip xmlns:r="http://schemas.openxmlformats.org/officeDocument/2006/relationships" r:embed="rId5" cstate="print"/>
          <a:stretch>
            <a:fillRect/>
          </a:stretch>
        </xdr:blipFill>
        <xdr:spPr>
          <a:xfrm>
            <a:off x="1626736" y="467723"/>
            <a:ext cx="74802" cy="109423"/>
          </a:xfrm>
          <a:prstGeom prst="rect">
            <a:avLst/>
          </a:prstGeom>
        </xdr:spPr>
      </xdr:pic>
      <xdr:sp macro="" textlink="">
        <xdr:nvSpPr>
          <xdr:cNvPr id="34" name="Graphic 15">
            <a:extLst>
              <a:ext uri="{FF2B5EF4-FFF2-40B4-BE49-F238E27FC236}">
                <a16:creationId xmlns:a16="http://schemas.microsoft.com/office/drawing/2014/main" id="{EDDAD2BD-A660-3727-8B66-0E9257F8CCF4}"/>
              </a:ext>
            </a:extLst>
          </xdr:cNvPr>
          <xdr:cNvSpPr/>
        </xdr:nvSpPr>
        <xdr:spPr>
          <a:xfrm>
            <a:off x="1722120" y="467372"/>
            <a:ext cx="73660" cy="109220"/>
          </a:xfrm>
          <a:custGeom>
            <a:avLst/>
            <a:gdLst/>
            <a:ahLst/>
            <a:cxnLst/>
            <a:rect l="l" t="t" r="r" b="b"/>
            <a:pathLst>
              <a:path w="73660" h="109220">
                <a:moveTo>
                  <a:pt x="73279" y="0"/>
                </a:moveTo>
                <a:lnTo>
                  <a:pt x="0" y="0"/>
                </a:lnTo>
                <a:lnTo>
                  <a:pt x="0" y="13970"/>
                </a:lnTo>
                <a:lnTo>
                  <a:pt x="28232" y="13970"/>
                </a:lnTo>
                <a:lnTo>
                  <a:pt x="28232" y="109220"/>
                </a:lnTo>
                <a:lnTo>
                  <a:pt x="45034" y="109220"/>
                </a:lnTo>
                <a:lnTo>
                  <a:pt x="45034" y="13970"/>
                </a:lnTo>
                <a:lnTo>
                  <a:pt x="73279" y="13970"/>
                </a:lnTo>
                <a:lnTo>
                  <a:pt x="73279" y="0"/>
                </a:lnTo>
                <a:close/>
              </a:path>
            </a:pathLst>
          </a:custGeom>
          <a:solidFill>
            <a:srgbClr val="010202"/>
          </a:solidFill>
        </xdr:spPr>
        <xdr:txBody>
          <a:bodyPr wrap="square" lIns="0" tIns="0" rIns="0" bIns="0" rtlCol="0">
            <a:prstTxWarp prst="textNoShape">
              <a:avLst/>
            </a:prstTxWarp>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123825</xdr:colOff>
      <xdr:row>32</xdr:row>
      <xdr:rowOff>19049</xdr:rowOff>
    </xdr:from>
    <xdr:to>
      <xdr:col>26</xdr:col>
      <xdr:colOff>971550</xdr:colOff>
      <xdr:row>34</xdr:row>
      <xdr:rowOff>104774</xdr:rowOff>
    </xdr:to>
    <xdr:grpSp>
      <xdr:nvGrpSpPr>
        <xdr:cNvPr id="16" name="Group 15">
          <a:extLst>
            <a:ext uri="{FF2B5EF4-FFF2-40B4-BE49-F238E27FC236}">
              <a16:creationId xmlns:a16="http://schemas.microsoft.com/office/drawing/2014/main" id="{B971DF2B-A34C-4AA5-8090-127FA973C47D}"/>
            </a:ext>
          </a:extLst>
        </xdr:cNvPr>
        <xdr:cNvGrpSpPr>
          <a:grpSpLocks/>
        </xdr:cNvGrpSpPr>
      </xdr:nvGrpSpPr>
      <xdr:grpSpPr>
        <a:xfrm>
          <a:off x="6257925" y="6381749"/>
          <a:ext cx="1390650" cy="466725"/>
          <a:chOff x="0" y="0"/>
          <a:chExt cx="1946275" cy="668020"/>
        </a:xfrm>
      </xdr:grpSpPr>
      <xdr:sp macro="" textlink="">
        <xdr:nvSpPr>
          <xdr:cNvPr id="17" name="Graphic 3">
            <a:extLst>
              <a:ext uri="{FF2B5EF4-FFF2-40B4-BE49-F238E27FC236}">
                <a16:creationId xmlns:a16="http://schemas.microsoft.com/office/drawing/2014/main" id="{6425ED90-5E8F-150A-CE59-D26079B98D33}"/>
              </a:ext>
            </a:extLst>
          </xdr:cNvPr>
          <xdr:cNvSpPr/>
        </xdr:nvSpPr>
        <xdr:spPr>
          <a:xfrm>
            <a:off x="0" y="0"/>
            <a:ext cx="1946275" cy="668020"/>
          </a:xfrm>
          <a:custGeom>
            <a:avLst/>
            <a:gdLst/>
            <a:ahLst/>
            <a:cxnLst/>
            <a:rect l="l" t="t" r="r" b="b"/>
            <a:pathLst>
              <a:path w="1946275" h="668020">
                <a:moveTo>
                  <a:pt x="1945728" y="0"/>
                </a:moveTo>
                <a:lnTo>
                  <a:pt x="0" y="0"/>
                </a:lnTo>
                <a:lnTo>
                  <a:pt x="0" y="667943"/>
                </a:lnTo>
                <a:lnTo>
                  <a:pt x="1945728" y="667943"/>
                </a:lnTo>
                <a:lnTo>
                  <a:pt x="1945728" y="0"/>
                </a:lnTo>
                <a:close/>
              </a:path>
            </a:pathLst>
          </a:custGeom>
          <a:solidFill>
            <a:srgbClr val="FFFFFF"/>
          </a:solidFill>
        </xdr:spPr>
        <xdr:txBody>
          <a:bodyPr wrap="square" lIns="0" tIns="0" rIns="0" bIns="0" rtlCol="0">
            <a:prstTxWarp prst="textNoShape">
              <a:avLst/>
            </a:prstTxWarp>
            <a:noAutofit/>
          </a:bodyPr>
          <a:lstStyle/>
          <a:p>
            <a:endParaRPr lang="en-GB"/>
          </a:p>
        </xdr:txBody>
      </xdr:sp>
      <xdr:pic>
        <xdr:nvPicPr>
          <xdr:cNvPr id="18" name="Image 4">
            <a:extLst>
              <a:ext uri="{FF2B5EF4-FFF2-40B4-BE49-F238E27FC236}">
                <a16:creationId xmlns:a16="http://schemas.microsoft.com/office/drawing/2014/main" id="{0A42EC80-9EFE-650C-E16F-710293FBEA8F}"/>
              </a:ext>
            </a:extLst>
          </xdr:cNvPr>
          <xdr:cNvPicPr/>
        </xdr:nvPicPr>
        <xdr:blipFill>
          <a:blip xmlns:r="http://schemas.openxmlformats.org/officeDocument/2006/relationships" r:embed="rId1" cstate="print"/>
          <a:stretch>
            <a:fillRect/>
          </a:stretch>
        </xdr:blipFill>
        <xdr:spPr>
          <a:xfrm>
            <a:off x="304342" y="88446"/>
            <a:ext cx="1491070" cy="312674"/>
          </a:xfrm>
          <a:prstGeom prst="rect">
            <a:avLst/>
          </a:prstGeom>
        </xdr:spPr>
      </xdr:pic>
      <xdr:pic>
        <xdr:nvPicPr>
          <xdr:cNvPr id="19" name="Image 5">
            <a:extLst>
              <a:ext uri="{FF2B5EF4-FFF2-40B4-BE49-F238E27FC236}">
                <a16:creationId xmlns:a16="http://schemas.microsoft.com/office/drawing/2014/main" id="{FA078D9B-E2DF-F6B3-6EA6-F62E94237523}"/>
              </a:ext>
            </a:extLst>
          </xdr:cNvPr>
          <xdr:cNvPicPr/>
        </xdr:nvPicPr>
        <xdr:blipFill>
          <a:blip xmlns:r="http://schemas.openxmlformats.org/officeDocument/2006/relationships" r:embed="rId2" cstate="print"/>
          <a:stretch>
            <a:fillRect/>
          </a:stretch>
        </xdr:blipFill>
        <xdr:spPr>
          <a:xfrm>
            <a:off x="308622" y="465708"/>
            <a:ext cx="256774" cy="113792"/>
          </a:xfrm>
          <a:prstGeom prst="rect">
            <a:avLst/>
          </a:prstGeom>
        </xdr:spPr>
      </xdr:pic>
      <xdr:pic>
        <xdr:nvPicPr>
          <xdr:cNvPr id="20" name="Image 6">
            <a:extLst>
              <a:ext uri="{FF2B5EF4-FFF2-40B4-BE49-F238E27FC236}">
                <a16:creationId xmlns:a16="http://schemas.microsoft.com/office/drawing/2014/main" id="{A2D5019D-6040-9130-94F7-DDB95B4EE2B3}"/>
              </a:ext>
            </a:extLst>
          </xdr:cNvPr>
          <xdr:cNvPicPr/>
        </xdr:nvPicPr>
        <xdr:blipFill>
          <a:blip xmlns:r="http://schemas.openxmlformats.org/officeDocument/2006/relationships" r:embed="rId3" cstate="print"/>
          <a:stretch>
            <a:fillRect/>
          </a:stretch>
        </xdr:blipFill>
        <xdr:spPr>
          <a:xfrm>
            <a:off x="588258" y="467366"/>
            <a:ext cx="153155" cy="109780"/>
          </a:xfrm>
          <a:prstGeom prst="rect">
            <a:avLst/>
          </a:prstGeom>
        </xdr:spPr>
      </xdr:pic>
      <xdr:pic>
        <xdr:nvPicPr>
          <xdr:cNvPr id="21" name="Image 7">
            <a:extLst>
              <a:ext uri="{FF2B5EF4-FFF2-40B4-BE49-F238E27FC236}">
                <a16:creationId xmlns:a16="http://schemas.microsoft.com/office/drawing/2014/main" id="{75AAFDDB-CB96-DDF9-9009-C5970359E84F}"/>
              </a:ext>
            </a:extLst>
          </xdr:cNvPr>
          <xdr:cNvPicPr/>
        </xdr:nvPicPr>
        <xdr:blipFill>
          <a:blip xmlns:r="http://schemas.openxmlformats.org/officeDocument/2006/relationships" r:embed="rId4" cstate="print"/>
          <a:stretch>
            <a:fillRect/>
          </a:stretch>
        </xdr:blipFill>
        <xdr:spPr>
          <a:xfrm>
            <a:off x="806505" y="467723"/>
            <a:ext cx="95808" cy="109423"/>
          </a:xfrm>
          <a:prstGeom prst="rect">
            <a:avLst/>
          </a:prstGeom>
        </xdr:spPr>
      </xdr:pic>
      <xdr:pic>
        <xdr:nvPicPr>
          <xdr:cNvPr id="22" name="Image 8">
            <a:extLst>
              <a:ext uri="{FF2B5EF4-FFF2-40B4-BE49-F238E27FC236}">
                <a16:creationId xmlns:a16="http://schemas.microsoft.com/office/drawing/2014/main" id="{F328AF49-F36E-8C08-E0EE-ABBA8310A69A}"/>
              </a:ext>
            </a:extLst>
          </xdr:cNvPr>
          <xdr:cNvPicPr/>
        </xdr:nvPicPr>
        <xdr:blipFill>
          <a:blip xmlns:r="http://schemas.openxmlformats.org/officeDocument/2006/relationships" r:embed="rId5" cstate="print"/>
          <a:stretch>
            <a:fillRect/>
          </a:stretch>
        </xdr:blipFill>
        <xdr:spPr>
          <a:xfrm>
            <a:off x="1030897" y="467723"/>
            <a:ext cx="74802" cy="109423"/>
          </a:xfrm>
          <a:prstGeom prst="rect">
            <a:avLst/>
          </a:prstGeom>
        </xdr:spPr>
      </xdr:pic>
      <xdr:pic>
        <xdr:nvPicPr>
          <xdr:cNvPr id="23" name="Image 9">
            <a:extLst>
              <a:ext uri="{FF2B5EF4-FFF2-40B4-BE49-F238E27FC236}">
                <a16:creationId xmlns:a16="http://schemas.microsoft.com/office/drawing/2014/main" id="{7F93962A-AFDE-833A-926F-94B02CC3EC79}"/>
              </a:ext>
            </a:extLst>
          </xdr:cNvPr>
          <xdr:cNvPicPr/>
        </xdr:nvPicPr>
        <xdr:blipFill>
          <a:blip xmlns:r="http://schemas.openxmlformats.org/officeDocument/2006/relationships" r:embed="rId6" cstate="print"/>
          <a:stretch>
            <a:fillRect/>
          </a:stretch>
        </xdr:blipFill>
        <xdr:spPr>
          <a:xfrm>
            <a:off x="923326" y="467718"/>
            <a:ext cx="86728" cy="109423"/>
          </a:xfrm>
          <a:prstGeom prst="rect">
            <a:avLst/>
          </a:prstGeom>
        </xdr:spPr>
      </xdr:pic>
      <xdr:pic>
        <xdr:nvPicPr>
          <xdr:cNvPr id="24" name="Image 10">
            <a:extLst>
              <a:ext uri="{FF2B5EF4-FFF2-40B4-BE49-F238E27FC236}">
                <a16:creationId xmlns:a16="http://schemas.microsoft.com/office/drawing/2014/main" id="{94344171-4476-EF67-3A71-63D6E80DDD4E}"/>
              </a:ext>
            </a:extLst>
          </xdr:cNvPr>
          <xdr:cNvPicPr/>
        </xdr:nvPicPr>
        <xdr:blipFill>
          <a:blip xmlns:r="http://schemas.openxmlformats.org/officeDocument/2006/relationships" r:embed="rId7" cstate="print"/>
          <a:stretch>
            <a:fillRect/>
          </a:stretch>
        </xdr:blipFill>
        <xdr:spPr>
          <a:xfrm>
            <a:off x="1126538" y="465703"/>
            <a:ext cx="176291" cy="113792"/>
          </a:xfrm>
          <a:prstGeom prst="rect">
            <a:avLst/>
          </a:prstGeom>
        </xdr:spPr>
      </xdr:pic>
      <xdr:pic>
        <xdr:nvPicPr>
          <xdr:cNvPr id="25" name="Image 11">
            <a:extLst>
              <a:ext uri="{FF2B5EF4-FFF2-40B4-BE49-F238E27FC236}">
                <a16:creationId xmlns:a16="http://schemas.microsoft.com/office/drawing/2014/main" id="{1FBB9971-1FFC-E274-7C2A-3AF188859071}"/>
              </a:ext>
            </a:extLst>
          </xdr:cNvPr>
          <xdr:cNvPicPr/>
        </xdr:nvPicPr>
        <xdr:blipFill>
          <a:blip xmlns:r="http://schemas.openxmlformats.org/officeDocument/2006/relationships" r:embed="rId8" cstate="print"/>
          <a:stretch>
            <a:fillRect/>
          </a:stretch>
        </xdr:blipFill>
        <xdr:spPr>
          <a:xfrm>
            <a:off x="1329410" y="467723"/>
            <a:ext cx="63868" cy="109423"/>
          </a:xfrm>
          <a:prstGeom prst="rect">
            <a:avLst/>
          </a:prstGeom>
        </xdr:spPr>
      </xdr:pic>
      <xdr:pic>
        <xdr:nvPicPr>
          <xdr:cNvPr id="26" name="Image 12">
            <a:extLst>
              <a:ext uri="{FF2B5EF4-FFF2-40B4-BE49-F238E27FC236}">
                <a16:creationId xmlns:a16="http://schemas.microsoft.com/office/drawing/2014/main" id="{EE45E449-8961-ADCD-93AC-4FF6F87CB877}"/>
              </a:ext>
            </a:extLst>
          </xdr:cNvPr>
          <xdr:cNvPicPr/>
        </xdr:nvPicPr>
        <xdr:blipFill>
          <a:blip xmlns:r="http://schemas.openxmlformats.org/officeDocument/2006/relationships" r:embed="rId9" cstate="print"/>
          <a:stretch>
            <a:fillRect/>
          </a:stretch>
        </xdr:blipFill>
        <xdr:spPr>
          <a:xfrm>
            <a:off x="1415444" y="467723"/>
            <a:ext cx="95808" cy="109423"/>
          </a:xfrm>
          <a:prstGeom prst="rect">
            <a:avLst/>
          </a:prstGeom>
        </xdr:spPr>
      </xdr:pic>
      <xdr:pic>
        <xdr:nvPicPr>
          <xdr:cNvPr id="27" name="Image 13">
            <a:extLst>
              <a:ext uri="{FF2B5EF4-FFF2-40B4-BE49-F238E27FC236}">
                <a16:creationId xmlns:a16="http://schemas.microsoft.com/office/drawing/2014/main" id="{35B648B3-E224-137A-396E-E06BEE2DBB6A}"/>
              </a:ext>
            </a:extLst>
          </xdr:cNvPr>
          <xdr:cNvPicPr/>
        </xdr:nvPicPr>
        <xdr:blipFill>
          <a:blip xmlns:r="http://schemas.openxmlformats.org/officeDocument/2006/relationships" r:embed="rId10" cstate="print"/>
          <a:stretch>
            <a:fillRect/>
          </a:stretch>
        </xdr:blipFill>
        <xdr:spPr>
          <a:xfrm>
            <a:off x="1540703" y="467723"/>
            <a:ext cx="63868" cy="109423"/>
          </a:xfrm>
          <a:prstGeom prst="rect">
            <a:avLst/>
          </a:prstGeom>
        </xdr:spPr>
      </xdr:pic>
      <xdr:pic>
        <xdr:nvPicPr>
          <xdr:cNvPr id="28" name="Image 14">
            <a:extLst>
              <a:ext uri="{FF2B5EF4-FFF2-40B4-BE49-F238E27FC236}">
                <a16:creationId xmlns:a16="http://schemas.microsoft.com/office/drawing/2014/main" id="{7FF71A7E-7A66-AEA6-39A1-38C4F28F4F21}"/>
              </a:ext>
            </a:extLst>
          </xdr:cNvPr>
          <xdr:cNvPicPr/>
        </xdr:nvPicPr>
        <xdr:blipFill>
          <a:blip xmlns:r="http://schemas.openxmlformats.org/officeDocument/2006/relationships" r:embed="rId5" cstate="print"/>
          <a:stretch>
            <a:fillRect/>
          </a:stretch>
        </xdr:blipFill>
        <xdr:spPr>
          <a:xfrm>
            <a:off x="1626736" y="467723"/>
            <a:ext cx="74802" cy="109423"/>
          </a:xfrm>
          <a:prstGeom prst="rect">
            <a:avLst/>
          </a:prstGeom>
        </xdr:spPr>
      </xdr:pic>
      <xdr:sp macro="" textlink="">
        <xdr:nvSpPr>
          <xdr:cNvPr id="29" name="Graphic 15">
            <a:extLst>
              <a:ext uri="{FF2B5EF4-FFF2-40B4-BE49-F238E27FC236}">
                <a16:creationId xmlns:a16="http://schemas.microsoft.com/office/drawing/2014/main" id="{13976C4E-E5EC-3735-4338-6E945CF6FE01}"/>
              </a:ext>
            </a:extLst>
          </xdr:cNvPr>
          <xdr:cNvSpPr/>
        </xdr:nvSpPr>
        <xdr:spPr>
          <a:xfrm>
            <a:off x="1722120" y="467372"/>
            <a:ext cx="73660" cy="109220"/>
          </a:xfrm>
          <a:custGeom>
            <a:avLst/>
            <a:gdLst/>
            <a:ahLst/>
            <a:cxnLst/>
            <a:rect l="l" t="t" r="r" b="b"/>
            <a:pathLst>
              <a:path w="73660" h="109220">
                <a:moveTo>
                  <a:pt x="73279" y="0"/>
                </a:moveTo>
                <a:lnTo>
                  <a:pt x="0" y="0"/>
                </a:lnTo>
                <a:lnTo>
                  <a:pt x="0" y="13970"/>
                </a:lnTo>
                <a:lnTo>
                  <a:pt x="28232" y="13970"/>
                </a:lnTo>
                <a:lnTo>
                  <a:pt x="28232" y="109220"/>
                </a:lnTo>
                <a:lnTo>
                  <a:pt x="45034" y="109220"/>
                </a:lnTo>
                <a:lnTo>
                  <a:pt x="45034" y="13970"/>
                </a:lnTo>
                <a:lnTo>
                  <a:pt x="73279" y="13970"/>
                </a:lnTo>
                <a:lnTo>
                  <a:pt x="73279" y="0"/>
                </a:lnTo>
                <a:close/>
              </a:path>
            </a:pathLst>
          </a:custGeom>
          <a:solidFill>
            <a:srgbClr val="010202"/>
          </a:solidFill>
        </xdr:spPr>
        <xdr:txBody>
          <a:bodyPr wrap="square" lIns="0" tIns="0" rIns="0" bIns="0" rtlCol="0">
            <a:prstTxWarp prst="textNoShape">
              <a:avLst/>
            </a:prstTxWarp>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74342</xdr:colOff>
      <xdr:row>0</xdr:row>
      <xdr:rowOff>134744</xdr:rowOff>
    </xdr:from>
    <xdr:to>
      <xdr:col>5</xdr:col>
      <xdr:colOff>734122</xdr:colOff>
      <xdr:row>2</xdr:row>
      <xdr:rowOff>37171</xdr:rowOff>
    </xdr:to>
    <xdr:grpSp>
      <xdr:nvGrpSpPr>
        <xdr:cNvPr id="44" name="Group 43">
          <a:extLst>
            <a:ext uri="{FF2B5EF4-FFF2-40B4-BE49-F238E27FC236}">
              <a16:creationId xmlns:a16="http://schemas.microsoft.com/office/drawing/2014/main" id="{DF22E7FF-3875-4BD5-9D5B-BF555F8C6561}"/>
            </a:ext>
          </a:extLst>
        </xdr:cNvPr>
        <xdr:cNvGrpSpPr>
          <a:grpSpLocks/>
        </xdr:cNvGrpSpPr>
      </xdr:nvGrpSpPr>
      <xdr:grpSpPr>
        <a:xfrm>
          <a:off x="5562207" y="134744"/>
          <a:ext cx="1194646" cy="386004"/>
          <a:chOff x="0" y="0"/>
          <a:chExt cx="1946275" cy="668020"/>
        </a:xfrm>
      </xdr:grpSpPr>
      <xdr:sp macro="" textlink="">
        <xdr:nvSpPr>
          <xdr:cNvPr id="45" name="Graphic 3">
            <a:extLst>
              <a:ext uri="{FF2B5EF4-FFF2-40B4-BE49-F238E27FC236}">
                <a16:creationId xmlns:a16="http://schemas.microsoft.com/office/drawing/2014/main" id="{8C9344DC-8DB7-0816-C89A-0063D8C206B7}"/>
              </a:ext>
            </a:extLst>
          </xdr:cNvPr>
          <xdr:cNvSpPr/>
        </xdr:nvSpPr>
        <xdr:spPr>
          <a:xfrm>
            <a:off x="0" y="0"/>
            <a:ext cx="1946275" cy="668020"/>
          </a:xfrm>
          <a:custGeom>
            <a:avLst/>
            <a:gdLst/>
            <a:ahLst/>
            <a:cxnLst/>
            <a:rect l="l" t="t" r="r" b="b"/>
            <a:pathLst>
              <a:path w="1946275" h="668020">
                <a:moveTo>
                  <a:pt x="1945728" y="0"/>
                </a:moveTo>
                <a:lnTo>
                  <a:pt x="0" y="0"/>
                </a:lnTo>
                <a:lnTo>
                  <a:pt x="0" y="667943"/>
                </a:lnTo>
                <a:lnTo>
                  <a:pt x="1945728" y="667943"/>
                </a:lnTo>
                <a:lnTo>
                  <a:pt x="1945728" y="0"/>
                </a:lnTo>
                <a:close/>
              </a:path>
            </a:pathLst>
          </a:custGeom>
          <a:solidFill>
            <a:srgbClr val="FFFFFF"/>
          </a:solidFill>
        </xdr:spPr>
        <xdr:txBody>
          <a:bodyPr wrap="square" lIns="0" tIns="0" rIns="0" bIns="0" rtlCol="0">
            <a:prstTxWarp prst="textNoShape">
              <a:avLst/>
            </a:prstTxWarp>
            <a:noAutofit/>
          </a:bodyPr>
          <a:lstStyle/>
          <a:p>
            <a:endParaRPr lang="en-GB"/>
          </a:p>
        </xdr:txBody>
      </xdr:sp>
      <xdr:pic>
        <xdr:nvPicPr>
          <xdr:cNvPr id="46" name="Image 4">
            <a:extLst>
              <a:ext uri="{FF2B5EF4-FFF2-40B4-BE49-F238E27FC236}">
                <a16:creationId xmlns:a16="http://schemas.microsoft.com/office/drawing/2014/main" id="{3358ABED-F3DE-E630-CC0B-644E4F6755B9}"/>
              </a:ext>
            </a:extLst>
          </xdr:cNvPr>
          <xdr:cNvPicPr/>
        </xdr:nvPicPr>
        <xdr:blipFill>
          <a:blip xmlns:r="http://schemas.openxmlformats.org/officeDocument/2006/relationships" r:embed="rId1" cstate="print"/>
          <a:stretch>
            <a:fillRect/>
          </a:stretch>
        </xdr:blipFill>
        <xdr:spPr>
          <a:xfrm>
            <a:off x="304342" y="88446"/>
            <a:ext cx="1491070" cy="312674"/>
          </a:xfrm>
          <a:prstGeom prst="rect">
            <a:avLst/>
          </a:prstGeom>
        </xdr:spPr>
      </xdr:pic>
      <xdr:pic>
        <xdr:nvPicPr>
          <xdr:cNvPr id="47" name="Image 5">
            <a:extLst>
              <a:ext uri="{FF2B5EF4-FFF2-40B4-BE49-F238E27FC236}">
                <a16:creationId xmlns:a16="http://schemas.microsoft.com/office/drawing/2014/main" id="{DC7246AB-681C-12D3-C8B1-55CA7AF3AB21}"/>
              </a:ext>
            </a:extLst>
          </xdr:cNvPr>
          <xdr:cNvPicPr/>
        </xdr:nvPicPr>
        <xdr:blipFill>
          <a:blip xmlns:r="http://schemas.openxmlformats.org/officeDocument/2006/relationships" r:embed="rId2" cstate="print"/>
          <a:stretch>
            <a:fillRect/>
          </a:stretch>
        </xdr:blipFill>
        <xdr:spPr>
          <a:xfrm>
            <a:off x="308622" y="465708"/>
            <a:ext cx="256774" cy="113792"/>
          </a:xfrm>
          <a:prstGeom prst="rect">
            <a:avLst/>
          </a:prstGeom>
        </xdr:spPr>
      </xdr:pic>
      <xdr:pic>
        <xdr:nvPicPr>
          <xdr:cNvPr id="48" name="Image 6">
            <a:extLst>
              <a:ext uri="{FF2B5EF4-FFF2-40B4-BE49-F238E27FC236}">
                <a16:creationId xmlns:a16="http://schemas.microsoft.com/office/drawing/2014/main" id="{892C6CF4-A779-244C-A388-4D4BD512F7AE}"/>
              </a:ext>
            </a:extLst>
          </xdr:cNvPr>
          <xdr:cNvPicPr/>
        </xdr:nvPicPr>
        <xdr:blipFill>
          <a:blip xmlns:r="http://schemas.openxmlformats.org/officeDocument/2006/relationships" r:embed="rId3" cstate="print"/>
          <a:stretch>
            <a:fillRect/>
          </a:stretch>
        </xdr:blipFill>
        <xdr:spPr>
          <a:xfrm>
            <a:off x="588258" y="467366"/>
            <a:ext cx="153155" cy="109780"/>
          </a:xfrm>
          <a:prstGeom prst="rect">
            <a:avLst/>
          </a:prstGeom>
        </xdr:spPr>
      </xdr:pic>
      <xdr:pic>
        <xdr:nvPicPr>
          <xdr:cNvPr id="49" name="Image 7">
            <a:extLst>
              <a:ext uri="{FF2B5EF4-FFF2-40B4-BE49-F238E27FC236}">
                <a16:creationId xmlns:a16="http://schemas.microsoft.com/office/drawing/2014/main" id="{380F8F31-5438-1CAF-BE5A-2E52ADD27E71}"/>
              </a:ext>
            </a:extLst>
          </xdr:cNvPr>
          <xdr:cNvPicPr/>
        </xdr:nvPicPr>
        <xdr:blipFill>
          <a:blip xmlns:r="http://schemas.openxmlformats.org/officeDocument/2006/relationships" r:embed="rId4" cstate="print"/>
          <a:stretch>
            <a:fillRect/>
          </a:stretch>
        </xdr:blipFill>
        <xdr:spPr>
          <a:xfrm>
            <a:off x="806505" y="467723"/>
            <a:ext cx="95808" cy="109423"/>
          </a:xfrm>
          <a:prstGeom prst="rect">
            <a:avLst/>
          </a:prstGeom>
        </xdr:spPr>
      </xdr:pic>
      <xdr:pic>
        <xdr:nvPicPr>
          <xdr:cNvPr id="50" name="Image 8">
            <a:extLst>
              <a:ext uri="{FF2B5EF4-FFF2-40B4-BE49-F238E27FC236}">
                <a16:creationId xmlns:a16="http://schemas.microsoft.com/office/drawing/2014/main" id="{2AFC7C29-E477-1829-0E1B-BD617ADAEC42}"/>
              </a:ext>
            </a:extLst>
          </xdr:cNvPr>
          <xdr:cNvPicPr/>
        </xdr:nvPicPr>
        <xdr:blipFill>
          <a:blip xmlns:r="http://schemas.openxmlformats.org/officeDocument/2006/relationships" r:embed="rId5" cstate="print"/>
          <a:stretch>
            <a:fillRect/>
          </a:stretch>
        </xdr:blipFill>
        <xdr:spPr>
          <a:xfrm>
            <a:off x="1030897" y="467723"/>
            <a:ext cx="74802" cy="109423"/>
          </a:xfrm>
          <a:prstGeom prst="rect">
            <a:avLst/>
          </a:prstGeom>
        </xdr:spPr>
      </xdr:pic>
      <xdr:pic>
        <xdr:nvPicPr>
          <xdr:cNvPr id="51" name="Image 9">
            <a:extLst>
              <a:ext uri="{FF2B5EF4-FFF2-40B4-BE49-F238E27FC236}">
                <a16:creationId xmlns:a16="http://schemas.microsoft.com/office/drawing/2014/main" id="{BC8845A4-9D1D-52B1-7FCD-FB3C2E23ACC1}"/>
              </a:ext>
            </a:extLst>
          </xdr:cNvPr>
          <xdr:cNvPicPr/>
        </xdr:nvPicPr>
        <xdr:blipFill>
          <a:blip xmlns:r="http://schemas.openxmlformats.org/officeDocument/2006/relationships" r:embed="rId6" cstate="print"/>
          <a:stretch>
            <a:fillRect/>
          </a:stretch>
        </xdr:blipFill>
        <xdr:spPr>
          <a:xfrm>
            <a:off x="923326" y="467718"/>
            <a:ext cx="86728" cy="109423"/>
          </a:xfrm>
          <a:prstGeom prst="rect">
            <a:avLst/>
          </a:prstGeom>
        </xdr:spPr>
      </xdr:pic>
      <xdr:pic>
        <xdr:nvPicPr>
          <xdr:cNvPr id="52" name="Image 10">
            <a:extLst>
              <a:ext uri="{FF2B5EF4-FFF2-40B4-BE49-F238E27FC236}">
                <a16:creationId xmlns:a16="http://schemas.microsoft.com/office/drawing/2014/main" id="{89C53B6F-1B31-9333-4226-49AB6FE2D8DF}"/>
              </a:ext>
            </a:extLst>
          </xdr:cNvPr>
          <xdr:cNvPicPr/>
        </xdr:nvPicPr>
        <xdr:blipFill>
          <a:blip xmlns:r="http://schemas.openxmlformats.org/officeDocument/2006/relationships" r:embed="rId7" cstate="print"/>
          <a:stretch>
            <a:fillRect/>
          </a:stretch>
        </xdr:blipFill>
        <xdr:spPr>
          <a:xfrm>
            <a:off x="1126538" y="465703"/>
            <a:ext cx="176291" cy="113792"/>
          </a:xfrm>
          <a:prstGeom prst="rect">
            <a:avLst/>
          </a:prstGeom>
        </xdr:spPr>
      </xdr:pic>
      <xdr:pic>
        <xdr:nvPicPr>
          <xdr:cNvPr id="53" name="Image 11">
            <a:extLst>
              <a:ext uri="{FF2B5EF4-FFF2-40B4-BE49-F238E27FC236}">
                <a16:creationId xmlns:a16="http://schemas.microsoft.com/office/drawing/2014/main" id="{AF6482B5-04C6-CDDD-759B-CAFB752BE7C7}"/>
              </a:ext>
            </a:extLst>
          </xdr:cNvPr>
          <xdr:cNvPicPr/>
        </xdr:nvPicPr>
        <xdr:blipFill>
          <a:blip xmlns:r="http://schemas.openxmlformats.org/officeDocument/2006/relationships" r:embed="rId8" cstate="print"/>
          <a:stretch>
            <a:fillRect/>
          </a:stretch>
        </xdr:blipFill>
        <xdr:spPr>
          <a:xfrm>
            <a:off x="1329410" y="467723"/>
            <a:ext cx="63868" cy="109423"/>
          </a:xfrm>
          <a:prstGeom prst="rect">
            <a:avLst/>
          </a:prstGeom>
        </xdr:spPr>
      </xdr:pic>
      <xdr:pic>
        <xdr:nvPicPr>
          <xdr:cNvPr id="54" name="Image 12">
            <a:extLst>
              <a:ext uri="{FF2B5EF4-FFF2-40B4-BE49-F238E27FC236}">
                <a16:creationId xmlns:a16="http://schemas.microsoft.com/office/drawing/2014/main" id="{D1F89BE1-64A7-BFB8-A3AA-87DF9CAB7954}"/>
              </a:ext>
            </a:extLst>
          </xdr:cNvPr>
          <xdr:cNvPicPr/>
        </xdr:nvPicPr>
        <xdr:blipFill>
          <a:blip xmlns:r="http://schemas.openxmlformats.org/officeDocument/2006/relationships" r:embed="rId9" cstate="print"/>
          <a:stretch>
            <a:fillRect/>
          </a:stretch>
        </xdr:blipFill>
        <xdr:spPr>
          <a:xfrm>
            <a:off x="1415444" y="467723"/>
            <a:ext cx="95808" cy="109423"/>
          </a:xfrm>
          <a:prstGeom prst="rect">
            <a:avLst/>
          </a:prstGeom>
        </xdr:spPr>
      </xdr:pic>
      <xdr:pic>
        <xdr:nvPicPr>
          <xdr:cNvPr id="55" name="Image 13">
            <a:extLst>
              <a:ext uri="{FF2B5EF4-FFF2-40B4-BE49-F238E27FC236}">
                <a16:creationId xmlns:a16="http://schemas.microsoft.com/office/drawing/2014/main" id="{71DFECBB-BA1A-17D0-ACE5-8618CAC66BDD}"/>
              </a:ext>
            </a:extLst>
          </xdr:cNvPr>
          <xdr:cNvPicPr/>
        </xdr:nvPicPr>
        <xdr:blipFill>
          <a:blip xmlns:r="http://schemas.openxmlformats.org/officeDocument/2006/relationships" r:embed="rId10" cstate="print"/>
          <a:stretch>
            <a:fillRect/>
          </a:stretch>
        </xdr:blipFill>
        <xdr:spPr>
          <a:xfrm>
            <a:off x="1540703" y="467723"/>
            <a:ext cx="63868" cy="109423"/>
          </a:xfrm>
          <a:prstGeom prst="rect">
            <a:avLst/>
          </a:prstGeom>
        </xdr:spPr>
      </xdr:pic>
      <xdr:pic>
        <xdr:nvPicPr>
          <xdr:cNvPr id="56" name="Image 14">
            <a:extLst>
              <a:ext uri="{FF2B5EF4-FFF2-40B4-BE49-F238E27FC236}">
                <a16:creationId xmlns:a16="http://schemas.microsoft.com/office/drawing/2014/main" id="{DD252A03-D39D-8605-6112-2BAAE093DC25}"/>
              </a:ext>
            </a:extLst>
          </xdr:cNvPr>
          <xdr:cNvPicPr/>
        </xdr:nvPicPr>
        <xdr:blipFill>
          <a:blip xmlns:r="http://schemas.openxmlformats.org/officeDocument/2006/relationships" r:embed="rId5" cstate="print"/>
          <a:stretch>
            <a:fillRect/>
          </a:stretch>
        </xdr:blipFill>
        <xdr:spPr>
          <a:xfrm>
            <a:off x="1626736" y="467723"/>
            <a:ext cx="74802" cy="109423"/>
          </a:xfrm>
          <a:prstGeom prst="rect">
            <a:avLst/>
          </a:prstGeom>
        </xdr:spPr>
      </xdr:pic>
      <xdr:sp macro="" textlink="">
        <xdr:nvSpPr>
          <xdr:cNvPr id="57" name="Graphic 15">
            <a:extLst>
              <a:ext uri="{FF2B5EF4-FFF2-40B4-BE49-F238E27FC236}">
                <a16:creationId xmlns:a16="http://schemas.microsoft.com/office/drawing/2014/main" id="{24F3631D-450F-8D56-C64E-A1ED207159FF}"/>
              </a:ext>
            </a:extLst>
          </xdr:cNvPr>
          <xdr:cNvSpPr/>
        </xdr:nvSpPr>
        <xdr:spPr>
          <a:xfrm>
            <a:off x="1722120" y="467372"/>
            <a:ext cx="73660" cy="109220"/>
          </a:xfrm>
          <a:custGeom>
            <a:avLst/>
            <a:gdLst/>
            <a:ahLst/>
            <a:cxnLst/>
            <a:rect l="l" t="t" r="r" b="b"/>
            <a:pathLst>
              <a:path w="73660" h="109220">
                <a:moveTo>
                  <a:pt x="73279" y="0"/>
                </a:moveTo>
                <a:lnTo>
                  <a:pt x="0" y="0"/>
                </a:lnTo>
                <a:lnTo>
                  <a:pt x="0" y="13970"/>
                </a:lnTo>
                <a:lnTo>
                  <a:pt x="28232" y="13970"/>
                </a:lnTo>
                <a:lnTo>
                  <a:pt x="28232" y="109220"/>
                </a:lnTo>
                <a:lnTo>
                  <a:pt x="45034" y="109220"/>
                </a:lnTo>
                <a:lnTo>
                  <a:pt x="45034" y="13970"/>
                </a:lnTo>
                <a:lnTo>
                  <a:pt x="73279" y="13970"/>
                </a:lnTo>
                <a:lnTo>
                  <a:pt x="73279" y="0"/>
                </a:lnTo>
                <a:close/>
              </a:path>
            </a:pathLst>
          </a:custGeom>
          <a:solidFill>
            <a:srgbClr val="010202"/>
          </a:solidFill>
        </xdr:spPr>
        <xdr:txBody>
          <a:bodyPr wrap="square" lIns="0" tIns="0" rIns="0" bIns="0" rtlCol="0">
            <a:prstTxWarp prst="textNoShape">
              <a:avLst/>
            </a:prstTxWarp>
            <a:noAutofit/>
          </a:bodyPr>
          <a:lstStyle/>
          <a:p>
            <a:endParaRPr lang="en-GB"/>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46EB45C-792F-4720-AFFA-4773EA34D50B}" name="September" displayName="September" ref="S21:Y27" totalsRowShown="0" headerRowDxfId="215" dataDxfId="214">
  <autoFilter ref="S21:Y27" xr:uid="{7BD4247D-A8C8-4AE6-828F-1130997D9B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EE42E89-928C-4C22-A961-7E885A45822D}" name="MON" dataDxfId="213"/>
    <tableColumn id="2" xr3:uid="{AC077B57-4B5B-44D9-B680-1542FAA47835}" name="TUE" dataDxfId="212"/>
    <tableColumn id="3" xr3:uid="{26C6390A-ED56-4389-921B-E823E3B142FA}" name="WED" dataDxfId="211"/>
    <tableColumn id="4" xr3:uid="{6297A621-248D-4715-936B-3C7C8FAC9F73}" name="THU" dataDxfId="210"/>
    <tableColumn id="5" xr3:uid="{65439D0F-0987-4361-AACE-888F0AD02F41}" name="FRI" dataDxfId="209"/>
    <tableColumn id="6" xr3:uid="{001F5D5B-2CE2-4830-B87A-47310907E17B}" name="SAT" dataDxfId="208"/>
    <tableColumn id="7" xr3:uid="{92559195-CB73-43D5-AD89-B537C8DAFB16}" name="SUN" dataDxfId="207"/>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33229B8-1B88-4F1F-8FB4-DD09863B6B21}" name="April" displayName="April" ref="C13:I19" totalsRowShown="0" headerRowDxfId="134" dataDxfId="133">
  <autoFilter ref="C13:I19" xr:uid="{023AAA8B-599D-4DD7-9B47-299A3FFC00C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3A3BA78-F866-4F30-BC39-936CFAEA815A}" name="MON" dataDxfId="132"/>
    <tableColumn id="2" xr3:uid="{0254C3C1-F1BB-40F1-A18F-21E91977EE53}" name="TUE" dataDxfId="131"/>
    <tableColumn id="3" xr3:uid="{C7755A12-A0CC-4F60-93D4-C919836CA309}" name="WED" dataDxfId="130"/>
    <tableColumn id="4" xr3:uid="{82522450-2E91-46D3-B3E7-1AAB18C97CE5}" name="THU" dataDxfId="129"/>
    <tableColumn id="5" xr3:uid="{DFACDB8E-BE59-41D9-9E8B-38AB9BA5A92B}" name="FRI" dataDxfId="128"/>
    <tableColumn id="6" xr3:uid="{64B8503A-65D1-4534-A8A1-DAE95B900A45}" name="SAT" dataDxfId="127"/>
    <tableColumn id="7" xr3:uid="{65CD88A0-3D5F-46A0-8B33-E2CF40A9104A}" name="SUN" dataDxfId="126"/>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AE65F-4F5F-4539-A5DC-D2140139BCE6}" name="February" displayName="February" ref="K5:Q11" totalsRowShown="0" headerRowDxfId="125" dataDxfId="124">
  <autoFilter ref="K5:Q11" xr:uid="{610DCB61-C9D8-4072-96BD-2D669E0FAB8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C4C6C16-204E-44D5-B098-C9D229366098}" name="MON" dataDxfId="123"/>
    <tableColumn id="2" xr3:uid="{C6CD5C6F-CF91-4F35-B84B-AD12AA5267FB}" name="TUE" dataDxfId="122"/>
    <tableColumn id="3" xr3:uid="{9BDA20AF-BB53-48D1-A451-57268ED65452}" name="WED" dataDxfId="121"/>
    <tableColumn id="4" xr3:uid="{3404FDF8-ACC1-45AC-8414-A54CCAEE5983}" name="THU" dataDxfId="120"/>
    <tableColumn id="5" xr3:uid="{B0CA7D5E-4DA5-48D4-9D32-CCEBB2B7C1D4}" name="FRI" dataDxfId="119"/>
    <tableColumn id="6" xr3:uid="{0C197BE0-3C8D-4A05-9555-54A2049E1930}" name="SAT" dataDxfId="118"/>
    <tableColumn id="7" xr3:uid="{9637FE45-D42A-4BDA-BFC9-5691C984419E}" name="SUN" dataDxfId="117"/>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8AED6C3-3B40-48D6-848F-ECF430F4B778}" name="January" displayName="January" ref="C5:I11" totalsRowShown="0" headerRowDxfId="116" dataDxfId="115">
  <autoFilter ref="C5:I11" xr:uid="{88568651-C9EB-4E22-ADF8-AF307D60FB1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D08E625-E389-49CD-A4F1-235667DDA1FB}" name="MON" dataDxfId="114"/>
    <tableColumn id="2" xr3:uid="{75530CFD-B4AD-4D7F-B600-AAB405F13F73}" name="TUE" dataDxfId="113"/>
    <tableColumn id="3" xr3:uid="{FBE5DEA2-935E-4CDB-8F4B-6DA495232F54}" name="WED" dataDxfId="112"/>
    <tableColumn id="4" xr3:uid="{C3545009-9649-4B2D-9DF4-38AA968488C7}" name="THU" dataDxfId="111"/>
    <tableColumn id="5" xr3:uid="{66242A36-16C2-4785-B8BE-E7522FB57E7F}" name="FRI" dataDxfId="110"/>
    <tableColumn id="6" xr3:uid="{0C7FC9B3-E733-414B-918A-07CAC4D1424B}" name="SAT" dataDxfId="109"/>
    <tableColumn id="7" xr3:uid="{A966067F-058A-45AC-B3F6-BDEA651BC587}" name="SUN" dataDxfId="108"/>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4DDF0A-4B92-490D-BBB6-899431632F9D}" name="September2" displayName="September2" ref="S21:Y27" totalsRowShown="0" headerRowDxfId="107" dataDxfId="106">
  <autoFilter ref="S21:Y27" xr:uid="{7BD4247D-A8C8-4AE6-828F-1130997D9B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1BEDB11-D24C-4FED-BB88-2BD8A069BE00}" name="MON" dataDxfId="105"/>
    <tableColumn id="2" xr3:uid="{4354F70E-3F18-431B-A912-7E4B9DCBCC43}" name="TUE" dataDxfId="104"/>
    <tableColumn id="3" xr3:uid="{13F40C40-3A90-4AE0-8CF6-3D5DA946B763}" name="WED" dataDxfId="103"/>
    <tableColumn id="4" xr3:uid="{02DDC85F-2700-44FB-B78B-1F3C40A0CE93}" name="THU" dataDxfId="102"/>
    <tableColumn id="5" xr3:uid="{077B33EE-86C8-4645-8FA2-BD4E3B77A332}" name="FRI" dataDxfId="101"/>
    <tableColumn id="6" xr3:uid="{365F65C6-BD45-4866-B9EA-FCC431AF0E29}" name="SAT" dataDxfId="100"/>
    <tableColumn id="7" xr3:uid="{403C879C-EBBE-4A64-B121-7A7155636230}" name="SUN" dataDxfId="99"/>
  </tableColumns>
  <tableStyleInfo showFirstColumn="0" showLastColumn="0" showRowStripes="0" showColumnStripes="0"/>
  <extLst>
    <ext xmlns:x14="http://schemas.microsoft.com/office/spreadsheetml/2009/9/main" uri="{504A1905-F514-4f6f-8877-14C23A59335A}">
      <x14:table altTextSummary="September calendar in this table is auto updated with weekday names and date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81415C-16D6-4804-A644-6FC82B32BF06}" name="October3" displayName="October3" ref="C29:I35" totalsRowShown="0" headerRowDxfId="98" dataDxfId="97">
  <autoFilter ref="C29:I35" xr:uid="{F5C87179-9167-449C-9551-AE5292621AB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360C210-3FE1-4FC6-92EE-2D67F6B5D25E}" name="MON" dataDxfId="96"/>
    <tableColumn id="2" xr3:uid="{D9D6E324-5161-4A31-B284-C3E957695A20}" name="TUE" dataDxfId="95"/>
    <tableColumn id="3" xr3:uid="{49E8432E-C2DE-41C6-BCF2-05C42608E7F0}" name="WED" dataDxfId="94"/>
    <tableColumn id="4" xr3:uid="{B16CEF99-3CC4-4C7D-9973-703777CA4078}" name="THU" dataDxfId="93"/>
    <tableColumn id="5" xr3:uid="{4E9B854F-0734-4BC6-849C-4C7CD74CF72D}" name="FRI" dataDxfId="92"/>
    <tableColumn id="6" xr3:uid="{03AA38DF-6996-40C1-8E89-79FD24F0DDC7}" name="SAT" dataDxfId="91"/>
    <tableColumn id="7" xr3:uid="{17D9E646-C2CE-402A-9D6B-15AEC77D5FCA}" name="SUN" dataDxfId="90"/>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34B4F9-CC6B-4442-9C0C-F63F20702BCB}" name="December4" displayName="December4" ref="S29:Y35" totalsRowShown="0" headerRowDxfId="89" dataDxfId="88">
  <autoFilter ref="S29:Y35" xr:uid="{AE48E127-E30D-4A27-8551-E2A886E83CB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AA87087-84CC-4AAB-B523-F2DD2939ABF0}" name="MON" dataDxfId="87"/>
    <tableColumn id="2" xr3:uid="{6E35D717-FE4A-4B96-8473-14C68D284C09}" name="TUE" dataDxfId="86"/>
    <tableColumn id="3" xr3:uid="{3C3B8423-0744-4EC8-8F38-5D23AF2854BC}" name="WED" dataDxfId="85"/>
    <tableColumn id="4" xr3:uid="{B6BDED28-AF56-4AC7-8242-78805DDB0067}" name="THU" dataDxfId="84"/>
    <tableColumn id="5" xr3:uid="{D82A5356-B735-4367-AD19-B9AB46B40036}" name="FRI" dataDxfId="83"/>
    <tableColumn id="6" xr3:uid="{6DC10218-5E3B-43A5-94A3-1C918B00E627}" name="SAT" dataDxfId="82"/>
    <tableColumn id="7" xr3:uid="{C8774D83-A487-4F4E-9103-C6F5A67D02FC}" name="SUN" dataDxfId="81"/>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015608-EC27-46A1-9A52-50C72D42852A}" name="November5" displayName="November5" ref="K29:Q35" totalsRowShown="0" headerRowDxfId="80" dataDxfId="79">
  <autoFilter ref="K29:Q35" xr:uid="{18BAEB8B-DB52-4501-B02D-A0E4349FAC3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999442B-1828-4A66-A36F-E429C56A140B}" name="MON" dataDxfId="78"/>
    <tableColumn id="2" xr3:uid="{C025FCE5-82AD-4E1E-B1C4-52E7A0A8AE32}" name="TUE" dataDxfId="77"/>
    <tableColumn id="3" xr3:uid="{43367243-34F9-451A-834E-5292D3088BF7}" name="WED" dataDxfId="76"/>
    <tableColumn id="4" xr3:uid="{C19A8F0D-CF74-49E0-A41D-836096006C53}" name="THU" dataDxfId="75"/>
    <tableColumn id="5" xr3:uid="{C235E19A-A7D5-4F4B-9ACF-9C0C567ABC06}" name="FRI" dataDxfId="74"/>
    <tableColumn id="6" xr3:uid="{942EFE22-9F7B-44B2-BEA3-6F8B9EFA039F}" name="SAT" dataDxfId="73"/>
    <tableColumn id="7" xr3:uid="{E314A44F-F32F-4550-B49F-5580BAC5904A}" name="SUN" dataDxfId="72"/>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C413A0C-EB93-4762-B233-A46465A247E5}" name="August6" displayName="August6" ref="K21:Q27" totalsRowShown="0" headerRowDxfId="71" dataDxfId="70">
  <autoFilter ref="K21:Q27" xr:uid="{BF200729-0103-4A7A-9F1A-8C896181E4D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45249B-14BA-4CF4-A26A-833ED2B7BC66}" name="MON" dataDxfId="69"/>
    <tableColumn id="2" xr3:uid="{BBEAB08D-3B59-480D-8840-C5AE758F49D4}" name="TUE" dataDxfId="68"/>
    <tableColumn id="3" xr3:uid="{DEB28E36-5722-4F52-93D3-CABBDD2DD27E}" name="WED" dataDxfId="67"/>
    <tableColumn id="4" xr3:uid="{8EA2F9B4-16FE-4C16-A348-B85C046A8E3A}" name="THU" dataDxfId="66"/>
    <tableColumn id="5" xr3:uid="{B99F1D55-3EDF-4DD0-8934-65985BAA6018}" name="FRI" dataDxfId="65"/>
    <tableColumn id="6" xr3:uid="{14B1CAD9-3CBF-4E0C-ABFD-C7DA72FE01AE}" name="SAT" dataDxfId="64"/>
    <tableColumn id="7" xr3:uid="{6E31EF58-13F1-4088-ABF1-29B41BBAE032}" name="SUN" dataDxfId="63"/>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B96C01-3B32-4678-A70F-B859C25F4AA8}" name="July7" displayName="July7" ref="C21:I27" totalsRowShown="0" headerRowDxfId="62" dataDxfId="61">
  <autoFilter ref="C21:I27" xr:uid="{CE87FFBF-56D6-414D-8F19-D541DDAC9D5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C1CA5AA-D8CA-4DAC-9AB7-508503478176}" name="MON" dataDxfId="60"/>
    <tableColumn id="2" xr3:uid="{4ADDCDF1-1531-49AF-884C-BEE1A6EDC5C3}" name="TUE" dataDxfId="59"/>
    <tableColumn id="3" xr3:uid="{E860E1AD-FC00-4EA1-86D0-A4AB912828AE}" name="WED" dataDxfId="58"/>
    <tableColumn id="4" xr3:uid="{EEF80CD4-E6D8-4E38-A754-EBA3FFE36540}" name="THU" dataDxfId="57"/>
    <tableColumn id="5" xr3:uid="{F4175A2A-3069-4FDE-B91A-30133D34EB91}" name="FRI" dataDxfId="56"/>
    <tableColumn id="6" xr3:uid="{F8B8F81D-4EA0-4B0C-899F-22313347134E}" name="SAT" dataDxfId="55"/>
    <tableColumn id="7" xr3:uid="{9335DC72-1514-49DF-B43A-D7A8FF0D2C91}" name="SUN" dataDxfId="54"/>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888F8CB-BD25-4FBB-8FF8-36E9FE0AD665}" name="June8" displayName="June8" ref="S13:Y19" totalsRowShown="0" headerRowDxfId="53" dataDxfId="52">
  <autoFilter ref="S13:Y19" xr:uid="{7057847F-74B8-4861-B2F4-DF1BEFB3609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72607D8-02D5-49F2-9318-010E9BEDB060}" name="MON" dataDxfId="51"/>
    <tableColumn id="2" xr3:uid="{49D046FC-4A2A-4B79-A9E0-6F0299966475}" name="TUE" dataDxfId="50"/>
    <tableColumn id="3" xr3:uid="{CBAD3981-97A1-4C98-A649-96ABA9C5DF96}" name="WED" dataDxfId="49"/>
    <tableColumn id="4" xr3:uid="{696BEDD1-2ABF-49F6-9EEA-2986762C4332}" name="THU" dataDxfId="48"/>
    <tableColumn id="5" xr3:uid="{F60590CB-13F3-4BC3-86B1-DB4019D4D70A}" name="FRI" dataDxfId="47"/>
    <tableColumn id="6" xr3:uid="{D7F9AB9E-9A38-4EAE-9680-580E137A8477}" name="SAT" dataDxfId="46"/>
    <tableColumn id="7" xr3:uid="{5C33AF33-EBD3-48E0-82C2-85946D16A07E}" name="SUN" dataDxfId="45"/>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780AF45-5D0B-4D82-A104-EC33AB3AAABC}" name="October" displayName="October" ref="C29:I35" totalsRowShown="0" headerRowDxfId="206" dataDxfId="205">
  <autoFilter ref="C29:I35" xr:uid="{F5C87179-9167-449C-9551-AE5292621AB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E83FF77-4BE3-4402-B310-F79BA1795D6B}" name="MON" dataDxfId="204"/>
    <tableColumn id="2" xr3:uid="{BC214BD9-B1AA-437E-9F2A-96512D1FC1EF}" name="TUE" dataDxfId="203"/>
    <tableColumn id="3" xr3:uid="{DEF1622E-55E3-4D12-BCF7-2C2AD5CA979E}" name="WED" dataDxfId="202"/>
    <tableColumn id="4" xr3:uid="{F867F210-9EED-4C0D-8B37-DA1447D6A197}" name="THU" dataDxfId="201"/>
    <tableColumn id="5" xr3:uid="{CE9078E8-C980-4A0A-A8D3-2FD8424176E3}" name="FRI" dataDxfId="200"/>
    <tableColumn id="6" xr3:uid="{515CFAB1-C4A6-417A-9486-443828202D84}" name="SAT" dataDxfId="199"/>
    <tableColumn id="7" xr3:uid="{4B8E7248-85D1-4C1F-B418-3B6A982A7CFB}" name="SUN" dataDxfId="198"/>
  </tableColumns>
  <tableStyleInfo showFirstColumn="0" showLastColumn="0" showRowStripes="0" showColumnStripes="0"/>
  <extLst>
    <ext xmlns:x14="http://schemas.microsoft.com/office/spreadsheetml/2009/9/main" uri="{504A1905-F514-4f6f-8877-14C23A59335A}">
      <x14:table altTextSummary="October calendar in this table is auto updated with weekday names and date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8BC30B4-4C5E-4FD5-A32C-62249E117BDE}" name="May_9" displayName="May_9" ref="K13:Q19" totalsRowShown="0" headerRowDxfId="44" dataDxfId="43">
  <autoFilter ref="K13:Q19" xr:uid="{B526D7A0-2417-4315-B717-973C3BE43DF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7B41901-914C-41B0-A455-BB995822F857}" name="MON" dataDxfId="42"/>
    <tableColumn id="2" xr3:uid="{507FDCBF-D951-4E6E-987D-B9BEF0A4E4EB}" name="TUE" dataDxfId="41"/>
    <tableColumn id="3" xr3:uid="{1950E89F-230B-4ABF-8761-0223F95C9E85}" name="WED" dataDxfId="40"/>
    <tableColumn id="4" xr3:uid="{BD7067BD-69EB-4B36-8D09-BB222B81752D}" name="THU" dataDxfId="39"/>
    <tableColumn id="5" xr3:uid="{C9E43437-7CA3-40BD-B7EB-009550BCB6A2}" name="FRI" dataDxfId="38"/>
    <tableColumn id="6" xr3:uid="{18740134-97BD-4A40-B661-46CF0A918B7A}" name="SAT" dataDxfId="37"/>
    <tableColumn id="7" xr3:uid="{FEE96112-357F-4DDD-98F4-AF8B38EB7FE4}" name="SUN" dataDxfId="36"/>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B4F41A5-8AFB-4FE0-8B95-6238EEB527B6}" name="March22" displayName="March22" ref="S5:Y11" totalsRowShown="0" headerRowDxfId="35" dataDxfId="34">
  <autoFilter ref="S5:Y11" xr:uid="{AF600F25-0571-4E74-8055-BF9579FE3A8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70D423-63CF-4914-8622-F6324C1F185E}" name="MON" dataDxfId="33"/>
    <tableColumn id="2" xr3:uid="{8A33E752-B7FD-4E5A-B496-AEC98AC65EEC}" name="TUE" dataDxfId="32"/>
    <tableColumn id="3" xr3:uid="{45DE7D1D-63D3-4943-BAA8-932EB9DC41D4}" name="WED" dataDxfId="31"/>
    <tableColumn id="4" xr3:uid="{9FFAF647-E8F4-4F07-8AB9-3312D03EAF69}" name="THU" dataDxfId="30"/>
    <tableColumn id="5" xr3:uid="{8DAD115B-A7F3-4B86-88BA-50722ABD7C65}" name="FRI" dataDxfId="29"/>
    <tableColumn id="6" xr3:uid="{AD94177C-D687-4B83-8D5F-0ABD7F5C24A8}" name="SAT" dataDxfId="28"/>
    <tableColumn id="7" xr3:uid="{C2F14C64-78E9-4D8D-84E8-EEA077C5071F}" name="SUN" dataDxfId="27"/>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282DAD2-8AB6-46E3-A84C-F2F376B1788F}" name="April23" displayName="April23" ref="C13:I19" totalsRowShown="0" headerRowDxfId="26" dataDxfId="25">
  <autoFilter ref="C13:I19" xr:uid="{023AAA8B-599D-4DD7-9B47-299A3FFC00C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8D770A2-DB2A-40ED-B075-5BADA50D24F4}" name="MON" dataDxfId="24"/>
    <tableColumn id="2" xr3:uid="{42C0BBD2-944C-4126-A456-82786A60B848}" name="TUE" dataDxfId="23"/>
    <tableColumn id="3" xr3:uid="{F09741A9-FBAC-46CA-ABA2-DEAA50D95844}" name="WED" dataDxfId="22"/>
    <tableColumn id="4" xr3:uid="{3A789C0A-1CCF-4893-A8B8-64015EB43F27}" name="THU" dataDxfId="21"/>
    <tableColumn id="5" xr3:uid="{86860DD7-1C2E-47DB-B858-E2CE2EBD56B3}" name="FRI" dataDxfId="20"/>
    <tableColumn id="6" xr3:uid="{D44712AF-1BA4-44AD-B2A4-7FD07248E28B}" name="SAT" dataDxfId="19"/>
    <tableColumn id="7" xr3:uid="{5736B6F9-6C98-4C12-94FB-A75C3616B7EF}" name="SUN" dataDxfId="18"/>
  </tableColumns>
  <tableStyleInfo showFirstColumn="0" showLastColumn="0" showRowStripes="0" showColumnStripes="0"/>
  <extLst>
    <ext xmlns:x14="http://schemas.microsoft.com/office/spreadsheetml/2009/9/main" uri="{504A1905-F514-4f6f-8877-14C23A59335A}">
      <x14:table altTextSummary="April calendar in this table is auto updated with weekday names and date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2E70844-653A-4728-A4F2-15EACEA1D181}" name="February24" displayName="February24" ref="K5:Q11" totalsRowShown="0" headerRowDxfId="17" dataDxfId="16">
  <autoFilter ref="K5:Q11" xr:uid="{610DCB61-C9D8-4072-96BD-2D669E0FAB8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32079DE-B0D0-49AF-9393-31665FE000BF}" name="MON" dataDxfId="15"/>
    <tableColumn id="2" xr3:uid="{EF22D460-923E-4042-82B4-BBCD64FF94BC}" name="TUE" dataDxfId="14"/>
    <tableColumn id="3" xr3:uid="{450ABD5E-A760-45B0-A6C5-336C837200E2}" name="WED" dataDxfId="13"/>
    <tableColumn id="4" xr3:uid="{A286248F-AD05-4932-A4E7-B3EFED47323F}" name="THU" dataDxfId="12"/>
    <tableColumn id="5" xr3:uid="{C0A212FD-6953-4BCD-A859-A56FBB38B51B}" name="FRI" dataDxfId="11"/>
    <tableColumn id="6" xr3:uid="{89915A9A-A503-4893-9CD8-5E87855EDF9F}" name="SAT" dataDxfId="10"/>
    <tableColumn id="7" xr3:uid="{FCC81230-55FD-4C77-89E7-36560C7636F6}" name="SUN" dataDxfId="9"/>
  </tableColumns>
  <tableStyleInfo showFirstColumn="0" showLastColumn="0" showRowStripes="0" showColumnStripes="0"/>
  <extLst>
    <ext xmlns:x14="http://schemas.microsoft.com/office/spreadsheetml/2009/9/main" uri="{504A1905-F514-4f6f-8877-14C23A59335A}">
      <x14:table altTextSummary="February calendar in this table is auto updated with weekday names and dates "/>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64D2567-774E-40EB-BE61-F1E3B4AFA0A6}" name="January25" displayName="January25" ref="C5:I11" totalsRowShown="0" headerRowDxfId="8" dataDxfId="7">
  <autoFilter ref="C5:I11" xr:uid="{88568651-C9EB-4E22-ADF8-AF307D60FB1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8A5A656-03E6-4989-928D-F46EA40DCB7B}" name="MON" dataDxfId="6"/>
    <tableColumn id="2" xr3:uid="{B0614E6E-A663-4B03-BCED-A4256785476F}" name="TUE" dataDxfId="5"/>
    <tableColumn id="3" xr3:uid="{9746FB5D-EAA3-4467-85CF-285E1EDC5A33}" name="WED" dataDxfId="4"/>
    <tableColumn id="4" xr3:uid="{04C4E63B-2997-49EB-B57E-CF533F4A1FC5}" name="THU" dataDxfId="3"/>
    <tableColumn id="5" xr3:uid="{02037AE2-4B6D-4FC7-AF15-5B356B4C3E1E}" name="FRI" dataDxfId="2"/>
    <tableColumn id="6" xr3:uid="{CB122036-C41E-4658-AF3F-A277708F8CB3}" name="SAT" dataDxfId="1"/>
    <tableColumn id="7" xr3:uid="{5C34D422-4050-4708-A1DA-1CF95B23745C}" name="SUN" dataDxfId="0"/>
  </tableColumns>
  <tableStyleInfo showFirstColumn="0" showLastColumn="0" showRowStripes="0" showColumnStripes="0"/>
  <extLst>
    <ext xmlns:x14="http://schemas.microsoft.com/office/spreadsheetml/2009/9/main" uri="{504A1905-F514-4f6f-8877-14C23A59335A}">
      <x14:table altTextSummary="January calendar in this table is auto updated with weekday names and dat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0A8A860-1B1C-477C-8F5B-037CA6D60998}" name="December" displayName="December" ref="S29:Y35" totalsRowShown="0" headerRowDxfId="197" dataDxfId="196">
  <autoFilter ref="S29:Y35" xr:uid="{AE48E127-E30D-4A27-8551-E2A886E83CB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7048C4D-C2DF-46BD-A5C9-B2C096C9FB62}" name="MON" dataDxfId="195"/>
    <tableColumn id="2" xr3:uid="{0B2EF454-81AB-4D52-AA3C-B690EE44D185}" name="TUE" dataDxfId="194"/>
    <tableColumn id="3" xr3:uid="{330729B5-C644-4537-822D-A57AA2A6AFCB}" name="WED" dataDxfId="193"/>
    <tableColumn id="4" xr3:uid="{B075B448-2CB0-4CF8-8793-E5F852FB6BF4}" name="THU" dataDxfId="192"/>
    <tableColumn id="5" xr3:uid="{3DD95F2E-3155-449D-8E77-13FA75DB345D}" name="FRI" dataDxfId="191"/>
    <tableColumn id="6" xr3:uid="{14159A6B-D249-4320-B25E-77E7CE8A7B70}" name="SAT" dataDxfId="190"/>
    <tableColumn id="7" xr3:uid="{120B0F7F-66B4-43D6-A5A0-273402CB3A21}" name="SUN" dataDxfId="189"/>
  </tableColumns>
  <tableStyleInfo showFirstColumn="0" showLastColumn="0" showRowStripes="0" showColumnStripes="0"/>
  <extLst>
    <ext xmlns:x14="http://schemas.microsoft.com/office/spreadsheetml/2009/9/main" uri="{504A1905-F514-4f6f-8877-14C23A59335A}">
      <x14:table altTextSummary="December calendar in this table is auto updated with weekday names and dat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4D967C8-7081-403B-BA98-B9E5AE58E7CA}" name="November" displayName="November" ref="K29:Q35" totalsRowShown="0" headerRowDxfId="188" dataDxfId="187">
  <autoFilter ref="K29:Q35" xr:uid="{18BAEB8B-DB52-4501-B02D-A0E4349FAC3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91C006-42BC-4E2D-BF6A-BE6F37B8B800}" name="MON" dataDxfId="186"/>
    <tableColumn id="2" xr3:uid="{1938D43D-8FD5-4C3A-BBDE-168F7D05611A}" name="TUE" dataDxfId="185"/>
    <tableColumn id="3" xr3:uid="{4842CF04-FF41-4DB4-969F-4FF7FB3902A6}" name="WED" dataDxfId="184"/>
    <tableColumn id="4" xr3:uid="{E599A265-8BBA-452F-8721-124F4941D44A}" name="THU" dataDxfId="183"/>
    <tableColumn id="5" xr3:uid="{503B45A2-4B8C-40CA-A557-BE247E21EBE0}" name="FRI" dataDxfId="182"/>
    <tableColumn id="6" xr3:uid="{11596C05-FA11-4530-A6EA-61D3235356BC}" name="SAT" dataDxfId="181"/>
    <tableColumn id="7" xr3:uid="{0AEE3C18-6495-4572-AF73-82B176FF576D}" name="SUN" dataDxfId="180"/>
  </tableColumns>
  <tableStyleInfo showFirstColumn="0" showLastColumn="0" showRowStripes="0" showColumnStripes="0"/>
  <extLst>
    <ext xmlns:x14="http://schemas.microsoft.com/office/spreadsheetml/2009/9/main" uri="{504A1905-F514-4f6f-8877-14C23A59335A}">
      <x14:table altTextSummary="November calendar in this table is auto updated with weekday names and da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93C1060-32D3-4798-8C5C-D8EC60209D45}" name="August" displayName="August" ref="K21:Q27" totalsRowShown="0" headerRowDxfId="179" dataDxfId="178">
  <autoFilter ref="K21:Q27" xr:uid="{BF200729-0103-4A7A-9F1A-8C896181E4D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37ACFF2-D98C-4302-A4DC-B2CD7F51DBCB}" name="MON" dataDxfId="177"/>
    <tableColumn id="2" xr3:uid="{2ADFD18E-73CF-40C6-9E7E-AC4C740BC59D}" name="TUE" dataDxfId="176"/>
    <tableColumn id="3" xr3:uid="{BBC74DA7-83A6-4D91-BF4B-5F328BDDADC6}" name="WED" dataDxfId="175"/>
    <tableColumn id="4" xr3:uid="{8C330E47-2E4D-412E-815A-0394E6AE9382}" name="THU" dataDxfId="174"/>
    <tableColumn id="5" xr3:uid="{7DE51A02-5E8E-45A2-8DAD-8BCA97881B5B}" name="FRI" dataDxfId="173"/>
    <tableColumn id="6" xr3:uid="{F1DBB649-6704-4D40-9CEA-DF15F983A06C}" name="SAT" dataDxfId="172"/>
    <tableColumn id="7" xr3:uid="{51A41C29-8B84-44D3-9FBF-8CFD330AE630}" name="SUN" dataDxfId="171"/>
  </tableColumns>
  <tableStyleInfo showFirstColumn="0" showLastColumn="0" showRowStripes="0" showColumnStripes="0"/>
  <extLst>
    <ext xmlns:x14="http://schemas.microsoft.com/office/spreadsheetml/2009/9/main" uri="{504A1905-F514-4f6f-8877-14C23A59335A}">
      <x14:table altTextSummary="August calendar in this table is auto updated with weekday names and dat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F34819D-AB97-4F99-A0A0-D10139D84156}" name="July" displayName="July" ref="C21:I27" totalsRowShown="0" headerRowDxfId="170" dataDxfId="169">
  <autoFilter ref="C21:I27" xr:uid="{CE87FFBF-56D6-414D-8F19-D541DDAC9D5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AC3573E-5603-40F0-BB61-A49AC0DCDC68}" name="MON" dataDxfId="168"/>
    <tableColumn id="2" xr3:uid="{568E5AFD-291F-45CA-83FA-D2B689223DA6}" name="TUE" dataDxfId="167"/>
    <tableColumn id="3" xr3:uid="{C8C03194-1D08-49BA-A13F-C8057F21DCFD}" name="WED" dataDxfId="166"/>
    <tableColumn id="4" xr3:uid="{FA9F7A80-5142-4B66-A4DB-DD0C92AD12F8}" name="THU" dataDxfId="165"/>
    <tableColumn id="5" xr3:uid="{B161F7ED-ED60-4234-A636-5B7151552BEE}" name="FRI" dataDxfId="164"/>
    <tableColumn id="6" xr3:uid="{B35D3CFE-C366-4BB1-8DB2-4AA956526C0F}" name="SAT" dataDxfId="163"/>
    <tableColumn id="7" xr3:uid="{AE059A51-FD33-4417-8D42-3C2CFA91888E}" name="SUN" dataDxfId="162"/>
  </tableColumns>
  <tableStyleInfo showFirstColumn="0" showLastColumn="0" showRowStripes="0" showColumnStripes="0"/>
  <extLst>
    <ext xmlns:x14="http://schemas.microsoft.com/office/spreadsheetml/2009/9/main" uri="{504A1905-F514-4f6f-8877-14C23A59335A}">
      <x14:table altTextSummary="July calendar in this table is auto updated with weekday names and dat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B9987B7-53E6-4450-8C9D-39A47FFE4134}" name="June" displayName="June" ref="S13:Y19" totalsRowShown="0" headerRowDxfId="161" dataDxfId="160">
  <autoFilter ref="S13:Y19" xr:uid="{7057847F-74B8-4861-B2F4-DF1BEFB3609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86102EA-1BCA-43D2-BF1B-CDC69B4F8D11}" name="MON" dataDxfId="159"/>
    <tableColumn id="2" xr3:uid="{C194C86A-B8C3-4374-966A-22BFA0B87048}" name="TUE" dataDxfId="158"/>
    <tableColumn id="3" xr3:uid="{59B5196A-9902-475A-80A7-EFF51EFA062C}" name="WED" dataDxfId="157"/>
    <tableColumn id="4" xr3:uid="{40178AF9-C419-4535-8950-10F3AF777975}" name="THU" dataDxfId="156"/>
    <tableColumn id="5" xr3:uid="{BDB3553D-E653-45F5-90BF-B9941CEE517B}" name="FRI" dataDxfId="155"/>
    <tableColumn id="6" xr3:uid="{C391E899-8C56-4F85-BC13-979EA10FF077}" name="SAT" dataDxfId="154"/>
    <tableColumn id="7" xr3:uid="{AF6B7E0C-93D9-4615-ABA0-6086AA3DDB65}" name="SUN" dataDxfId="153"/>
  </tableColumns>
  <tableStyleInfo showFirstColumn="0" showLastColumn="0" showRowStripes="0" showColumnStripes="0"/>
  <extLst>
    <ext xmlns:x14="http://schemas.microsoft.com/office/spreadsheetml/2009/9/main" uri="{504A1905-F514-4f6f-8877-14C23A59335A}">
      <x14:table altTextSummary="June calendar in this table is auto updated with weekday names and dat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7944E7C-9B8A-4194-B034-46E5D0A26219}" name="May" displayName="May" ref="K13:Q19" totalsRowShown="0" headerRowDxfId="152" dataDxfId="151">
  <autoFilter ref="K13:Q19" xr:uid="{B526D7A0-2417-4315-B717-973C3BE43DF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6AE9DEF-4B20-42DF-860F-E5FEA1931544}" name="MON" dataDxfId="150"/>
    <tableColumn id="2" xr3:uid="{0D18FAF9-1362-4AF0-B56F-782045BC6DB7}" name="TUE" dataDxfId="149"/>
    <tableColumn id="3" xr3:uid="{8FBCF9B5-6CA8-4EB0-9DF9-D8F0F6F9C6BC}" name="WED" dataDxfId="148"/>
    <tableColumn id="4" xr3:uid="{4F7F0F7F-47CD-4FF1-9E35-1B24099D080C}" name="THU" dataDxfId="147"/>
    <tableColumn id="5" xr3:uid="{DF92B16F-6BC5-4BDE-98FB-CDC534ADD668}" name="FRI" dataDxfId="146"/>
    <tableColumn id="6" xr3:uid="{D029CFB9-380E-45BB-8A4B-FA3072C21946}" name="SAT" dataDxfId="145"/>
    <tableColumn id="7" xr3:uid="{478495E3-4C1A-4928-9264-BB651B96552E}" name="SUN" dataDxfId="144"/>
  </tableColumns>
  <tableStyleInfo showFirstColumn="0" showLastColumn="0" showRowStripes="0" showColumnStripes="0"/>
  <extLst>
    <ext xmlns:x14="http://schemas.microsoft.com/office/spreadsheetml/2009/9/main" uri="{504A1905-F514-4f6f-8877-14C23A59335A}">
      <x14:table altTextSummary="May calendar in this table is auto updated with weekday names and dat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B45672E-D812-4A32-A068-364BB71226F2}" name="March" displayName="March" ref="S5:Y11" totalsRowShown="0" headerRowDxfId="143" dataDxfId="142">
  <autoFilter ref="S5:Y11" xr:uid="{AF600F25-0571-4E74-8055-BF9579FE3A8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55D00B5-F11C-4847-A168-315955A9AFBB}" name="MON" dataDxfId="141"/>
    <tableColumn id="2" xr3:uid="{DD8FDA0B-3E4D-4BE5-ABD0-6A4A10D7346F}" name="TUE" dataDxfId="140"/>
    <tableColumn id="3" xr3:uid="{525A03B4-FE60-4320-8824-28642BB0B1ED}" name="WED" dataDxfId="139"/>
    <tableColumn id="4" xr3:uid="{AFB9B421-9871-4103-9D22-CD1267615538}" name="THU" dataDxfId="138"/>
    <tableColumn id="5" xr3:uid="{F3F809D4-B280-4CB6-AD4F-5694D0CD7653}" name="FRI" dataDxfId="137"/>
    <tableColumn id="6" xr3:uid="{43B35C36-7B34-4608-8FC7-292BFAB1A110}" name="SAT" dataDxfId="136"/>
    <tableColumn id="7" xr3:uid="{2A162B00-2D10-4072-99A5-4D8A31ECAC84}" name="SUN" dataDxfId="135"/>
  </tableColumns>
  <tableStyleInfo showFirstColumn="0" showLastColumn="0" showRowStripes="0" showColumnStripes="0"/>
  <extLst>
    <ext xmlns:x14="http://schemas.microsoft.com/office/spreadsheetml/2009/9/main" uri="{504A1905-F514-4f6f-8877-14C23A59335A}">
      <x14:table altTextSummary="March calendar in this table is auto updated with weekday names and dates"/>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ivic">
  <a:themeElements>
    <a:clrScheme name="Small Business Calendar 2">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8FB08C"/>
      </a:hlink>
      <a:folHlink>
        <a:srgbClr val="694F07"/>
      </a:folHlink>
    </a:clrScheme>
    <a:fontScheme name="Custom 2">
      <a:majorFont>
        <a:latin typeface="Calibri"/>
        <a:ea typeface=""/>
        <a:cs typeface=""/>
      </a:majorFont>
      <a:minorFont>
        <a:latin typeface="Calibri"/>
        <a:ea typeface=""/>
        <a:cs typeface=""/>
      </a:minorFont>
    </a:fontScheme>
    <a:fmtScheme name="Civic">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8.xml"/><Relationship Id="rId13" Type="http://schemas.openxmlformats.org/officeDocument/2006/relationships/table" Target="../tables/table23.xml"/><Relationship Id="rId3" Type="http://schemas.openxmlformats.org/officeDocument/2006/relationships/table" Target="../tables/table13.xml"/><Relationship Id="rId7" Type="http://schemas.openxmlformats.org/officeDocument/2006/relationships/table" Target="../tables/table17.xml"/><Relationship Id="rId12" Type="http://schemas.openxmlformats.org/officeDocument/2006/relationships/table" Target="../tables/table2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6.xml"/><Relationship Id="rId11" Type="http://schemas.openxmlformats.org/officeDocument/2006/relationships/table" Target="../tables/table21.xml"/><Relationship Id="rId5" Type="http://schemas.openxmlformats.org/officeDocument/2006/relationships/table" Target="../tables/table15.xml"/><Relationship Id="rId10" Type="http://schemas.openxmlformats.org/officeDocument/2006/relationships/table" Target="../tables/table20.xml"/><Relationship Id="rId4" Type="http://schemas.openxmlformats.org/officeDocument/2006/relationships/table" Target="../tables/table14.xml"/><Relationship Id="rId9" Type="http://schemas.openxmlformats.org/officeDocument/2006/relationships/table" Target="../tables/table19.xml"/><Relationship Id="rId14" Type="http://schemas.openxmlformats.org/officeDocument/2006/relationships/table" Target="../tables/table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2F9"/>
    <pageSetUpPr fitToPage="1"/>
  </sheetPr>
  <dimension ref="A2:AJ49"/>
  <sheetViews>
    <sheetView showGridLines="0" tabSelected="1" zoomScaleNormal="100" workbookViewId="0">
      <selection activeCell="C2" sqref="C2:T2"/>
    </sheetView>
  </sheetViews>
  <sheetFormatPr defaultColWidth="9.5" defaultRowHeight="11.25" x14ac:dyDescent="0.2"/>
  <cols>
    <col min="1" max="1" width="2.5" style="7" customWidth="1"/>
    <col min="2" max="2" width="5.1640625" style="1" customWidth="1"/>
    <col min="3" max="18" width="4.33203125" style="1" customWidth="1"/>
    <col min="19" max="21" width="4.33203125" customWidth="1"/>
    <col min="22" max="24" width="4.33203125" style="1" customWidth="1"/>
    <col min="25" max="25" width="4.33203125" customWidth="1"/>
    <col min="26" max="26" width="5.1640625" customWidth="1"/>
    <col min="27" max="27" width="111.83203125" style="1" customWidth="1"/>
    <col min="28" max="28" width="5.6640625" style="1" customWidth="1"/>
    <col min="29" max="37" width="9.33203125" style="1" customWidth="1"/>
    <col min="38" max="38" width="9.5" style="1" customWidth="1"/>
    <col min="39" max="16384" width="9.5" style="1"/>
  </cols>
  <sheetData>
    <row r="2" spans="1:36" ht="39" customHeight="1" x14ac:dyDescent="0.2">
      <c r="A2" s="5"/>
      <c r="C2" s="71" t="s">
        <v>67</v>
      </c>
      <c r="D2" s="72"/>
      <c r="E2" s="72"/>
      <c r="F2" s="72"/>
      <c r="G2" s="72"/>
      <c r="H2" s="72"/>
      <c r="I2" s="72"/>
      <c r="J2" s="72"/>
      <c r="K2" s="72"/>
      <c r="L2" s="72"/>
      <c r="M2" s="72"/>
      <c r="N2" s="72"/>
      <c r="O2" s="72"/>
      <c r="P2" s="72"/>
      <c r="Q2" s="72"/>
      <c r="R2" s="72"/>
      <c r="S2" s="72"/>
      <c r="T2" s="72"/>
      <c r="U2" s="28"/>
      <c r="V2" s="73">
        <v>2025</v>
      </c>
      <c r="W2" s="73"/>
      <c r="X2" s="73"/>
      <c r="Y2" s="74"/>
      <c r="AA2"/>
      <c r="AB2"/>
    </row>
    <row r="3" spans="1:36" ht="15" customHeight="1" x14ac:dyDescent="0.2">
      <c r="A3" s="6"/>
      <c r="C3" s="52"/>
      <c r="D3" s="15"/>
      <c r="E3" s="15"/>
      <c r="F3" s="15"/>
      <c r="G3" s="15"/>
      <c r="H3" s="15"/>
      <c r="I3" s="15"/>
      <c r="J3" s="15"/>
      <c r="K3" s="2"/>
      <c r="L3" s="2"/>
      <c r="M3" s="2"/>
      <c r="N3" s="2"/>
      <c r="O3" s="2"/>
      <c r="P3" s="2"/>
      <c r="Q3" s="2"/>
      <c r="R3" s="2"/>
      <c r="S3" s="24"/>
      <c r="T3" s="24"/>
      <c r="U3" s="24"/>
      <c r="V3" s="18"/>
      <c r="W3" s="18"/>
      <c r="X3" s="18"/>
      <c r="Y3" s="25"/>
      <c r="AA3" s="31" t="s">
        <v>19</v>
      </c>
      <c r="AB3" s="32"/>
    </row>
    <row r="4" spans="1:36" ht="21" customHeight="1" x14ac:dyDescent="0.25">
      <c r="B4" s="2"/>
      <c r="C4" s="75" t="s">
        <v>0</v>
      </c>
      <c r="D4" s="76"/>
      <c r="E4" s="76"/>
      <c r="F4" s="76"/>
      <c r="G4" s="76"/>
      <c r="H4" s="76"/>
      <c r="I4" s="76"/>
      <c r="J4" s="20"/>
      <c r="K4" s="76" t="s">
        <v>13</v>
      </c>
      <c r="L4" s="76"/>
      <c r="M4" s="76"/>
      <c r="N4" s="76"/>
      <c r="O4" s="76"/>
      <c r="P4" s="76"/>
      <c r="Q4" s="76"/>
      <c r="R4" s="2"/>
      <c r="S4" s="76" t="s">
        <v>2</v>
      </c>
      <c r="T4" s="76"/>
      <c r="U4" s="76"/>
      <c r="V4" s="76"/>
      <c r="W4" s="76"/>
      <c r="X4" s="76"/>
      <c r="Y4" s="77"/>
      <c r="AA4" s="85" t="s">
        <v>73</v>
      </c>
      <c r="AB4" s="14"/>
      <c r="AC4" s="2"/>
      <c r="AD4" s="2"/>
      <c r="AE4" s="2"/>
      <c r="AF4" s="2"/>
      <c r="AG4" s="2"/>
      <c r="AH4" s="2"/>
      <c r="AI4" s="2"/>
      <c r="AJ4" s="2"/>
    </row>
    <row r="5" spans="1:36" ht="38.25" customHeight="1" x14ac:dyDescent="0.2">
      <c r="A5" s="6"/>
      <c r="B5" s="2"/>
      <c r="C5" s="16" t="s">
        <v>1</v>
      </c>
      <c r="D5" s="4" t="s">
        <v>7</v>
      </c>
      <c r="E5" s="4" t="s">
        <v>8</v>
      </c>
      <c r="F5" s="4" t="s">
        <v>9</v>
      </c>
      <c r="G5" s="4" t="s">
        <v>10</v>
      </c>
      <c r="H5" s="4" t="s">
        <v>11</v>
      </c>
      <c r="I5" s="4" t="s">
        <v>12</v>
      </c>
      <c r="J5" s="8"/>
      <c r="K5" s="4" t="s">
        <v>1</v>
      </c>
      <c r="L5" s="4" t="s">
        <v>7</v>
      </c>
      <c r="M5" s="4" t="s">
        <v>8</v>
      </c>
      <c r="N5" s="4" t="s">
        <v>9</v>
      </c>
      <c r="O5" s="4" t="s">
        <v>10</v>
      </c>
      <c r="P5" s="4" t="s">
        <v>11</v>
      </c>
      <c r="Q5" s="4" t="s">
        <v>12</v>
      </c>
      <c r="R5" s="2"/>
      <c r="S5" s="4" t="s">
        <v>1</v>
      </c>
      <c r="T5" s="4" t="s">
        <v>7</v>
      </c>
      <c r="U5" s="4" t="s">
        <v>8</v>
      </c>
      <c r="V5" s="4" t="s">
        <v>9</v>
      </c>
      <c r="W5" s="4" t="s">
        <v>10</v>
      </c>
      <c r="X5" s="4" t="s">
        <v>11</v>
      </c>
      <c r="Y5" s="26" t="s">
        <v>12</v>
      </c>
      <c r="AA5" s="88"/>
      <c r="AB5" s="14"/>
      <c r="AJ5" s="2"/>
    </row>
    <row r="6" spans="1:36" ht="15" customHeight="1" x14ac:dyDescent="0.2">
      <c r="A6" s="6"/>
      <c r="B6" s="2"/>
      <c r="C6" s="17" t="str">
        <f>IF(DAY(JanSun1)=1,"",IF(AND(YEAR(JanSun1+1)=CalendarYear,MONTH(JanSun1+1)=1),JanSun1+1,""))</f>
        <v/>
      </c>
      <c r="D6" s="10" t="str">
        <f>IF(DAY(JanSun1)=1,"",IF(AND(YEAR(JanSun1+1)=CalendarYear,MONTH(JanSun1+1)=1),JanSun1+1,""))</f>
        <v/>
      </c>
      <c r="E6" s="10">
        <f>IF(DAY(JanSun1)=1,"",IF(AND(YEAR(JanSun1+3)=CalendarYear,MONTH(JanSun1+3)=1),JanSun1+3,""))</f>
        <v>45658</v>
      </c>
      <c r="F6" s="10">
        <f>IF(DAY(JanSun1)=1,"",IF(AND(YEAR(JanSun1+4)=CalendarYear,MONTH(JanSun1+4)=1),JanSun1+4,""))</f>
        <v>45659</v>
      </c>
      <c r="G6" s="10">
        <f>IF(DAY(JanSun1)=1,"",IF(AND(YEAR(JanSun1+5)=CalendarYear,MONTH(JanSun1+5)=1),JanSun1+5,""))</f>
        <v>45660</v>
      </c>
      <c r="H6" s="10">
        <f>IF(DAY(JanSun1)=1,"",IF(AND(YEAR(JanSun1+6)=CalendarYear,MONTH(JanSun1+6)=1),JanSun1+6,""))</f>
        <v>45661</v>
      </c>
      <c r="I6" s="10">
        <f>IF(DAY(JanSun1)=1,IF(AND(YEAR(JanSun1)=CalendarYear,MONTH(JanSun1)=1),JanSun1,""),IF(AND(YEAR(JanSun1+7)=CalendarYear,MONTH(JanSun1+7)=1),JanSun1+7,""))</f>
        <v>45662</v>
      </c>
      <c r="J6" s="10"/>
      <c r="K6" s="10" t="str">
        <f>IF(DAY(FebSun1)=1,"",IF(AND(YEAR(FebSun1+1)=CalendarYear,MONTH(FebSun1+1)=2),FebSun1+1,""))</f>
        <v/>
      </c>
      <c r="L6" s="10" t="str">
        <f>IF(DAY(FebSun1)=1,"",IF(AND(YEAR(FebSun1+2)=CalendarYear,MONTH(FebSun1+2)=2),FebSun1+2,""))</f>
        <v/>
      </c>
      <c r="M6" s="10" t="str">
        <f>IF(DAY(FebSun1)=1,"",IF(AND(YEAR(FebSun1+3)=CalendarYear,MONTH(FebSun1+3)=2),FebSun1+3,""))</f>
        <v/>
      </c>
      <c r="N6" s="10" t="str">
        <f>IF(DAY(FebSun1)=1,"",IF(AND(YEAR(FebSun1+4)=CalendarYear,MONTH(FebSun1+4)=2),FebSun1+4,""))</f>
        <v/>
      </c>
      <c r="O6" s="10" t="str">
        <f>IF(DAY(FebSun1)=1,"",IF(AND(YEAR(FebSun1+5)=CalendarYear,MONTH(FebSun1+5)=2),FebSun1+5,""))</f>
        <v/>
      </c>
      <c r="P6" s="10">
        <f>IF(DAY(FebSun1)=1,"",IF(AND(YEAR(FebSun1+6)=CalendarYear,MONTH(FebSun1+6)=2),FebSun1+6,""))</f>
        <v>45689</v>
      </c>
      <c r="Q6" s="10">
        <f>IF(DAY(FebSun1)=1,IF(AND(YEAR(FebSun1)=CalendarYear,MONTH(FebSun1)=2),FebSun1,""),IF(AND(YEAR(FebSun1+7)=CalendarYear,MONTH(FebSun1+7)=2),FebSun1+7,""))</f>
        <v>45690</v>
      </c>
      <c r="R6" s="2"/>
      <c r="S6" s="10" t="str">
        <f>IF(DAY(MarSun1)=1,"",IF(AND(YEAR(MarSun1+1)=CalendarYear,MONTH(MarSun1+1)=3),MarSun1+1,""))</f>
        <v/>
      </c>
      <c r="T6" s="10" t="str">
        <f>IF(DAY(MarSun1)=1,"",IF(AND(YEAR(MarSun1+2)=CalendarYear,MONTH(MarSun1+2)=3),MarSun1+2,""))</f>
        <v/>
      </c>
      <c r="U6" s="10" t="str">
        <f>IF(DAY(MarSun1)=1,"",IF(AND(YEAR(MarSun1+3)=CalendarYear,MONTH(MarSun1+3)=3),MarSun1+3,""))</f>
        <v/>
      </c>
      <c r="V6" s="10" t="str">
        <f>IF(DAY(MarSun1)=1,"",IF(AND(YEAR(MarSun1+4)=CalendarYear,MONTH(MarSun1+4)=3),MarSun1+4,""))</f>
        <v/>
      </c>
      <c r="W6" s="10" t="str">
        <f>IF(DAY(MarSun1)=1,"",IF(AND(YEAR(MarSun1+5)=CalendarYear,MONTH(MarSun1+5)=3),MarSun1+5,""))</f>
        <v/>
      </c>
      <c r="X6" s="10">
        <f>IF(DAY(MarSun1)=1,"",IF(AND(YEAR(MarSun1+6)=CalendarYear,MONTH(MarSun1+6)=3),MarSun1+6,""))</f>
        <v>45717</v>
      </c>
      <c r="Y6" s="27">
        <f>IF(DAY(MarSun1)=1,IF(AND(YEAR(MarSun1)=CalendarYear,MONTH(MarSun1)=3),MarSun1,""),IF(AND(YEAR(MarSun1+7)=CalendarYear,MONTH(MarSun1+7)=3),MarSun1+7,""))</f>
        <v>45718</v>
      </c>
      <c r="AA6" s="31" t="s">
        <v>20</v>
      </c>
      <c r="AB6" s="33"/>
      <c r="AJ6" s="2"/>
    </row>
    <row r="7" spans="1:36" ht="15" customHeight="1" x14ac:dyDescent="0.2">
      <c r="A7" s="6"/>
      <c r="B7" s="2"/>
      <c r="C7" s="17">
        <f>IF(DAY(JanSun1)=1,IF(AND(YEAR(JanSun1+1)=CalendarYear,MONTH(JanSun1+1)=1),JanSun1+1,""),IF(AND(YEAR(JanSun1+8)=CalendarYear,MONTH(JanSun1+8)=1),JanSun1+8,""))</f>
        <v>45663</v>
      </c>
      <c r="D7" s="10">
        <f>IF(DAY(JanSun1)=1,IF(AND(YEAR(JanSun1+2)=CalendarYear,MONTH(JanSun1+2)=1),JanSun1+2,""),IF(AND(YEAR(JanSun1+9)=CalendarYear,MONTH(JanSun1+9)=1),JanSun1+9,""))</f>
        <v>45664</v>
      </c>
      <c r="E7" s="10">
        <f>IF(DAY(JanSun1)=1,IF(AND(YEAR(JanSun1+3)=CalendarYear,MONTH(JanSun1+3)=1),JanSun1+3,""),IF(AND(YEAR(JanSun1+10)=CalendarYear,MONTH(JanSun1+10)=1),JanSun1+10,""))</f>
        <v>45665</v>
      </c>
      <c r="F7" s="10">
        <f>IF(DAY(JanSun1)=1,IF(AND(YEAR(JanSun1+4)=CalendarYear,MONTH(JanSun1+4)=1),JanSun1+4,""),IF(AND(YEAR(JanSun1+11)=CalendarYear,MONTH(JanSun1+11)=1),JanSun1+11,""))</f>
        <v>45666</v>
      </c>
      <c r="G7" s="10">
        <f>IF(DAY(JanSun1)=1,IF(AND(YEAR(JanSun1+5)=CalendarYear,MONTH(JanSun1+5)=1),JanSun1+5,""),IF(AND(YEAR(JanSun1+12)=CalendarYear,MONTH(JanSun1+12)=1),JanSun1+12,""))</f>
        <v>45667</v>
      </c>
      <c r="H7" s="10">
        <f>IF(DAY(JanSun1)=1,IF(AND(YEAR(JanSun1+6)=CalendarYear,MONTH(JanSun1+6)=1),JanSun1+6,""),IF(AND(YEAR(JanSun1+13)=CalendarYear,MONTH(JanSun1+13)=1),JanSun1+13,""))</f>
        <v>45668</v>
      </c>
      <c r="I7" s="10">
        <f>IF(DAY(JanSun1)=1,IF(AND(YEAR(JanSun1+7)=CalendarYear,MONTH(JanSun1+7)=1),JanSun1+7,""),IF(AND(YEAR(JanSun1+14)=CalendarYear,MONTH(JanSun1+14)=1),JanSun1+14,""))</f>
        <v>45669</v>
      </c>
      <c r="J7" s="10"/>
      <c r="K7" s="10">
        <f>IF(DAY(FebSun1)=1,IF(AND(YEAR(FebSun1+1)=CalendarYear,MONTH(FebSun1+1)=2),FebSun1+1,""),IF(AND(YEAR(FebSun1+8)=CalendarYear,MONTH(FebSun1+8)=2),FebSun1+8,""))</f>
        <v>45691</v>
      </c>
      <c r="L7" s="10">
        <f>IF(DAY(FebSun1)=1,IF(AND(YEAR(FebSun1+2)=CalendarYear,MONTH(FebSun1+2)=2),FebSun1+2,""),IF(AND(YEAR(FebSun1+9)=CalendarYear,MONTH(FebSun1+9)=2),FebSun1+9,""))</f>
        <v>45692</v>
      </c>
      <c r="M7" s="10">
        <f>IF(DAY(FebSun1)=1,IF(AND(YEAR(FebSun1+3)=CalendarYear,MONTH(FebSun1+3)=2),FebSun1+3,""),IF(AND(YEAR(FebSun1+10)=CalendarYear,MONTH(FebSun1+10)=2),FebSun1+10,""))</f>
        <v>45693</v>
      </c>
      <c r="N7" s="10">
        <f>IF(DAY(FebSun1)=1,IF(AND(YEAR(FebSun1+4)=CalendarYear,MONTH(FebSun1+4)=2),FebSun1+4,""),IF(AND(YEAR(FebSun1+11)=CalendarYear,MONTH(FebSun1+11)=2),FebSun1+11,""))</f>
        <v>45694</v>
      </c>
      <c r="O7" s="10">
        <f>IF(DAY(FebSun1)=1,IF(AND(YEAR(FebSun1+5)=CalendarYear,MONTH(FebSun1+5)=2),FebSun1+5,""),IF(AND(YEAR(FebSun1+12)=CalendarYear,MONTH(FebSun1+12)=2),FebSun1+12,""))</f>
        <v>45695</v>
      </c>
      <c r="P7" s="10">
        <f>IF(DAY(FebSun1)=1,IF(AND(YEAR(FebSun1+6)=CalendarYear,MONTH(FebSun1+6)=2),FebSun1+6,""),IF(AND(YEAR(FebSun1+13)=CalendarYear,MONTH(FebSun1+13)=2),FebSun1+13,""))</f>
        <v>45696</v>
      </c>
      <c r="Q7" s="10">
        <f>IF(DAY(FebSun1)=1,IF(AND(YEAR(FebSun1+7)=CalendarYear,MONTH(FebSun1+7)=2),FebSun1+7,""),IF(AND(YEAR(FebSun1+14)=CalendarYear,MONTH(FebSun1+14)=2),FebSun1+14,""))</f>
        <v>45697</v>
      </c>
      <c r="R7" s="2"/>
      <c r="S7" s="10">
        <f>IF(DAY(MarSun1)=1,IF(AND(YEAR(MarSun1+1)=CalendarYear,MONTH(MarSun1+1)=3),MarSun1+1,""),IF(AND(YEAR(MarSun1+8)=CalendarYear,MONTH(MarSun1+8)=3),MarSun1+8,""))</f>
        <v>45719</v>
      </c>
      <c r="T7" s="10">
        <f>IF(DAY(MarSun1)=1,IF(AND(YEAR(MarSun1+2)=CalendarYear,MONTH(MarSun1+2)=3),MarSun1+2,""),IF(AND(YEAR(MarSun1+9)=CalendarYear,MONTH(MarSun1+9)=3),MarSun1+9,""))</f>
        <v>45720</v>
      </c>
      <c r="U7" s="10">
        <f>IF(DAY(MarSun1)=1,IF(AND(YEAR(MarSun1+3)=CalendarYear,MONTH(MarSun1+3)=3),MarSun1+3,""),IF(AND(YEAR(MarSun1+10)=CalendarYear,MONTH(MarSun1+10)=3),MarSun1+10,""))</f>
        <v>45721</v>
      </c>
      <c r="V7" s="10">
        <f>IF(DAY(MarSun1)=1,IF(AND(YEAR(MarSun1+4)=CalendarYear,MONTH(MarSun1+4)=3),MarSun1+4,""),IF(AND(YEAR(MarSun1+11)=CalendarYear,MONTH(MarSun1+11)=3),MarSun1+11,""))</f>
        <v>45722</v>
      </c>
      <c r="W7" s="10">
        <f>IF(DAY(MarSun1)=1,IF(AND(YEAR(MarSun1+5)=CalendarYear,MONTH(MarSun1+5)=3),MarSun1+5,""),IF(AND(YEAR(MarSun1+12)=CalendarYear,MONTH(MarSun1+12)=3),MarSun1+12,""))</f>
        <v>45723</v>
      </c>
      <c r="X7" s="10">
        <f>IF(DAY(MarSun1)=1,IF(AND(YEAR(MarSun1+6)=CalendarYear,MONTH(MarSun1+6)=3),MarSun1+6,""),IF(AND(YEAR(MarSun1+13)=CalendarYear,MONTH(MarSun1+13)=3),MarSun1+13,""))</f>
        <v>45724</v>
      </c>
      <c r="Y7" s="27">
        <f>IF(DAY(MarSun1)=1,IF(AND(YEAR(MarSun1+7)=CalendarYear,MONTH(MarSun1+7)=3),MarSun1+7,""),IF(AND(YEAR(MarSun1+14)=CalendarYear,MONTH(MarSun1+14)=3),MarSun1+14,""))</f>
        <v>45725</v>
      </c>
      <c r="AA7" s="86" t="s">
        <v>72</v>
      </c>
      <c r="AJ7" s="2"/>
    </row>
    <row r="8" spans="1:36" ht="15" customHeight="1" x14ac:dyDescent="0.2">
      <c r="B8" s="2"/>
      <c r="C8" s="17">
        <f>IF(DAY(JanSun1)=1,IF(AND(YEAR(JanSun1+8)=CalendarYear,MONTH(JanSun1+8)=1),JanSun1+8,""),IF(AND(YEAR(JanSun1+15)=CalendarYear,MONTH(JanSun1+15)=1),JanSun1+15,""))</f>
        <v>45670</v>
      </c>
      <c r="D8" s="10">
        <f>IF(DAY(JanSun1)=1,IF(AND(YEAR(JanSun1+9)=CalendarYear,MONTH(JanSun1+9)=1),JanSun1+9,""),IF(AND(YEAR(JanSun1+16)=CalendarYear,MONTH(JanSun1+16)=1),JanSun1+16,""))</f>
        <v>45671</v>
      </c>
      <c r="E8" s="10">
        <f>IF(DAY(JanSun1)=1,IF(AND(YEAR(JanSun1+10)=CalendarYear,MONTH(JanSun1+10)=1),JanSun1+10,""),IF(AND(YEAR(JanSun1+17)=CalendarYear,MONTH(JanSun1+17)=1),JanSun1+17,""))</f>
        <v>45672</v>
      </c>
      <c r="F8" s="10">
        <f>IF(DAY(JanSun1)=1,IF(AND(YEAR(JanSun1+11)=CalendarYear,MONTH(JanSun1+11)=1),JanSun1+11,""),IF(AND(YEAR(JanSun1+18)=CalendarYear,MONTH(JanSun1+18)=1),JanSun1+18,""))</f>
        <v>45673</v>
      </c>
      <c r="G8" s="10">
        <f>IF(DAY(JanSun1)=1,IF(AND(YEAR(JanSun1+12)=CalendarYear,MONTH(JanSun1+12)=1),JanSun1+12,""),IF(AND(YEAR(JanSun1+19)=CalendarYear,MONTH(JanSun1+19)=1),JanSun1+19,""))</f>
        <v>45674</v>
      </c>
      <c r="H8" s="10">
        <f>IF(DAY(JanSun1)=1,IF(AND(YEAR(JanSun1+13)=CalendarYear,MONTH(JanSun1+13)=1),JanSun1+13,""),IF(AND(YEAR(JanSun1+20)=CalendarYear,MONTH(JanSun1+20)=1),JanSun1+20,""))</f>
        <v>45675</v>
      </c>
      <c r="I8" s="10">
        <f>IF(DAY(JanSun1)=1,IF(AND(YEAR(JanSun1+14)=CalendarYear,MONTH(JanSun1+14)=1),JanSun1+14,""),IF(AND(YEAR(JanSun1+21)=CalendarYear,MONTH(JanSun1+21)=1),JanSun1+21,""))</f>
        <v>45676</v>
      </c>
      <c r="J8" s="10"/>
      <c r="K8" s="10">
        <f>IF(DAY(FebSun1)=1,IF(AND(YEAR(FebSun1+8)=CalendarYear,MONTH(FebSun1+8)=2),FebSun1+8,""),IF(AND(YEAR(FebSun1+15)=CalendarYear,MONTH(FebSun1+15)=2),FebSun1+15,""))</f>
        <v>45698</v>
      </c>
      <c r="L8" s="10">
        <f>IF(DAY(FebSun1)=1,IF(AND(YEAR(FebSun1+9)=CalendarYear,MONTH(FebSun1+9)=2),FebSun1+9,""),IF(AND(YEAR(FebSun1+16)=CalendarYear,MONTH(FebSun1+16)=2),FebSun1+16,""))</f>
        <v>45699</v>
      </c>
      <c r="M8" s="10">
        <f>IF(DAY(FebSun1)=1,IF(AND(YEAR(FebSun1+10)=CalendarYear,MONTH(FebSun1+10)=2),FebSun1+10,""),IF(AND(YEAR(FebSun1+17)=CalendarYear,MONTH(FebSun1+17)=2),FebSun1+17,""))</f>
        <v>45700</v>
      </c>
      <c r="N8" s="10">
        <f>IF(DAY(FebSun1)=1,IF(AND(YEAR(FebSun1+11)=CalendarYear,MONTH(FebSun1+11)=2),FebSun1+11,""),IF(AND(YEAR(FebSun1+18)=CalendarYear,MONTH(FebSun1+18)=2),FebSun1+18,""))</f>
        <v>45701</v>
      </c>
      <c r="O8" s="10">
        <f>IF(DAY(FebSun1)=1,IF(AND(YEAR(FebSun1+12)=CalendarYear,MONTH(FebSun1+12)=2),FebSun1+12,""),IF(AND(YEAR(FebSun1+19)=CalendarYear,MONTH(FebSun1+19)=2),FebSun1+19,""))</f>
        <v>45702</v>
      </c>
      <c r="P8" s="10">
        <f>IF(DAY(FebSun1)=1,IF(AND(YEAR(FebSun1+13)=CalendarYear,MONTH(FebSun1+13)=2),FebSun1+13,""),IF(AND(YEAR(FebSun1+20)=CalendarYear,MONTH(FebSun1+20)=2),FebSun1+20,""))</f>
        <v>45703</v>
      </c>
      <c r="Q8" s="10">
        <f>IF(DAY(FebSun1)=1,IF(AND(YEAR(FebSun1+14)=CalendarYear,MONTH(FebSun1+14)=2),FebSun1+14,""),IF(AND(YEAR(FebSun1+21)=CalendarYear,MONTH(FebSun1+21)=2),FebSun1+21,""))</f>
        <v>45704</v>
      </c>
      <c r="R8" s="2"/>
      <c r="S8" s="10">
        <f>IF(DAY(MarSun1)=1,IF(AND(YEAR(MarSun1+8)=CalendarYear,MONTH(MarSun1+8)=3),MarSun1+8,""),IF(AND(YEAR(MarSun1+15)=CalendarYear,MONTH(MarSun1+15)=3),MarSun1+15,""))</f>
        <v>45726</v>
      </c>
      <c r="T8" s="10">
        <f>IF(DAY(MarSun1)=1,IF(AND(YEAR(MarSun1+9)=CalendarYear,MONTH(MarSun1+9)=3),MarSun1+9,""),IF(AND(YEAR(MarSun1+16)=CalendarYear,MONTH(MarSun1+16)=3),MarSun1+16,""))</f>
        <v>45727</v>
      </c>
      <c r="U8" s="10">
        <f>IF(DAY(MarSun1)=1,IF(AND(YEAR(MarSun1+10)=CalendarYear,MONTH(MarSun1+10)=3),MarSun1+10,""),IF(AND(YEAR(MarSun1+17)=CalendarYear,MONTH(MarSun1+17)=3),MarSun1+17,""))</f>
        <v>45728</v>
      </c>
      <c r="V8" s="10">
        <f>IF(DAY(MarSun1)=1,IF(AND(YEAR(MarSun1+11)=CalendarYear,MONTH(MarSun1+11)=3),MarSun1+11,""),IF(AND(YEAR(MarSun1+18)=CalendarYear,MONTH(MarSun1+18)=3),MarSun1+18,""))</f>
        <v>45729</v>
      </c>
      <c r="W8" s="10">
        <f>IF(DAY(MarSun1)=1,IF(AND(YEAR(MarSun1+12)=CalendarYear,MONTH(MarSun1+12)=3),MarSun1+12,""),IF(AND(YEAR(MarSun1+19)=CalendarYear,MONTH(MarSun1+19)=3),MarSun1+19,""))</f>
        <v>45730</v>
      </c>
      <c r="X8" s="10">
        <f>IF(DAY(MarSun1)=1,IF(AND(YEAR(MarSun1+13)=CalendarYear,MONTH(MarSun1+13)=3),MarSun1+13,""),IF(AND(YEAR(MarSun1+20)=CalendarYear,MONTH(MarSun1+20)=3),MarSun1+20,""))</f>
        <v>45731</v>
      </c>
      <c r="Y8" s="27">
        <f>IF(DAY(MarSun1)=1,IF(AND(YEAR(MarSun1+14)=CalendarYear,MONTH(MarSun1+14)=3),MarSun1+14,""),IF(AND(YEAR(MarSun1+21)=CalendarYear,MONTH(MarSun1+21)=3),MarSun1+21,""))</f>
        <v>45732</v>
      </c>
      <c r="AA8" s="87"/>
      <c r="AJ8" s="2"/>
    </row>
    <row r="9" spans="1:36" ht="15" customHeight="1" x14ac:dyDescent="0.2">
      <c r="B9" s="2"/>
      <c r="C9" s="17">
        <f>IF(DAY(JanSun1)=1,IF(AND(YEAR(JanSun1+15)=CalendarYear,MONTH(JanSun1+15)=1),JanSun1+15,""),IF(AND(YEAR(JanSun1+22)=CalendarYear,MONTH(JanSun1+22)=1),JanSun1+22,""))</f>
        <v>45677</v>
      </c>
      <c r="D9" s="10">
        <f>IF(DAY(JanSun1)=1,IF(AND(YEAR(JanSun1+16)=CalendarYear,MONTH(JanSun1+16)=1),JanSun1+16,""),IF(AND(YEAR(JanSun1+23)=CalendarYear,MONTH(JanSun1+23)=1),JanSun1+23,""))</f>
        <v>45678</v>
      </c>
      <c r="E9" s="10">
        <f>IF(DAY(JanSun1)=1,IF(AND(YEAR(JanSun1+17)=CalendarYear,MONTH(JanSun1+17)=1),JanSun1+17,""),IF(AND(YEAR(JanSun1+24)=CalendarYear,MONTH(JanSun1+24)=1),JanSun1+24,""))</f>
        <v>45679</v>
      </c>
      <c r="F9" s="10">
        <f>IF(DAY(JanSun1)=1,IF(AND(YEAR(JanSun1+18)=CalendarYear,MONTH(JanSun1+18)=1),JanSun1+18,""),IF(AND(YEAR(JanSun1+25)=CalendarYear,MONTH(JanSun1+25)=1),JanSun1+25,""))</f>
        <v>45680</v>
      </c>
      <c r="G9" s="10">
        <f>IF(DAY(JanSun1)=1,IF(AND(YEAR(JanSun1+19)=CalendarYear,MONTH(JanSun1+19)=1),JanSun1+19,""),IF(AND(YEAR(JanSun1+26)=CalendarYear,MONTH(JanSun1+26)=1),JanSun1+26,""))</f>
        <v>45681</v>
      </c>
      <c r="H9" s="10">
        <f>IF(DAY(JanSun1)=1,IF(AND(YEAR(JanSun1+20)=CalendarYear,MONTH(JanSun1+20)=1),JanSun1+20,""),IF(AND(YEAR(JanSun1+27)=CalendarYear,MONTH(JanSun1+27)=1),JanSun1+27,""))</f>
        <v>45682</v>
      </c>
      <c r="I9" s="10">
        <f>IF(DAY(JanSun1)=1,IF(AND(YEAR(JanSun1+21)=CalendarYear,MONTH(JanSun1+21)=1),JanSun1+21,""),IF(AND(YEAR(JanSun1+28)=CalendarYear,MONTH(JanSun1+28)=1),JanSun1+28,""))</f>
        <v>45683</v>
      </c>
      <c r="J9" s="10"/>
      <c r="K9" s="10">
        <f>IF(DAY(FebSun1)=1,IF(AND(YEAR(FebSun1+15)=CalendarYear,MONTH(FebSun1+15)=2),FebSun1+15,""),IF(AND(YEAR(FebSun1+22)=CalendarYear,MONTH(FebSun1+22)=2),FebSun1+22,""))</f>
        <v>45705</v>
      </c>
      <c r="L9" s="10">
        <f>IF(DAY(FebSun1)=1,IF(AND(YEAR(FebSun1+16)=CalendarYear,MONTH(FebSun1+16)=2),FebSun1+16,""),IF(AND(YEAR(FebSun1+23)=CalendarYear,MONTH(FebSun1+23)=2),FebSun1+23,""))</f>
        <v>45706</v>
      </c>
      <c r="M9" s="10">
        <f>IF(DAY(FebSun1)=1,IF(AND(YEAR(FebSun1+17)=CalendarYear,MONTH(FebSun1+17)=2),FebSun1+17,""),IF(AND(YEAR(FebSun1+24)=CalendarYear,MONTH(FebSun1+24)=2),FebSun1+24,""))</f>
        <v>45707</v>
      </c>
      <c r="N9" s="10">
        <f>IF(DAY(FebSun1)=1,IF(AND(YEAR(FebSun1+18)=CalendarYear,MONTH(FebSun1+18)=2),FebSun1+18,""),IF(AND(YEAR(FebSun1+25)=CalendarYear,MONTH(FebSun1+25)=2),FebSun1+25,""))</f>
        <v>45708</v>
      </c>
      <c r="O9" s="10">
        <f>IF(DAY(FebSun1)=1,IF(AND(YEAR(FebSun1+19)=CalendarYear,MONTH(FebSun1+19)=2),FebSun1+19,""),IF(AND(YEAR(FebSun1+26)=CalendarYear,MONTH(FebSun1+26)=2),FebSun1+26,""))</f>
        <v>45709</v>
      </c>
      <c r="P9" s="10">
        <f>IF(DAY(FebSun1)=1,IF(AND(YEAR(FebSun1+20)=CalendarYear,MONTH(FebSun1+20)=2),FebSun1+20,""),IF(AND(YEAR(FebSun1+27)=CalendarYear,MONTH(FebSun1+27)=2),FebSun1+27,""))</f>
        <v>45710</v>
      </c>
      <c r="Q9" s="10">
        <f>IF(DAY(FebSun1)=1,IF(AND(YEAR(FebSun1+21)=CalendarYear,MONTH(FebSun1+21)=2),FebSun1+21,""),IF(AND(YEAR(FebSun1+28)=CalendarYear,MONTH(FebSun1+28)=2),FebSun1+28,""))</f>
        <v>45711</v>
      </c>
      <c r="R9" s="2"/>
      <c r="S9" s="10">
        <f>IF(DAY(MarSun1)=1,IF(AND(YEAR(MarSun1+15)=CalendarYear,MONTH(MarSun1+15)=3),MarSun1+15,""),IF(AND(YEAR(MarSun1+22)=CalendarYear,MONTH(MarSun1+22)=3),MarSun1+22,""))</f>
        <v>45733</v>
      </c>
      <c r="T9" s="10">
        <f>IF(DAY(MarSun1)=1,IF(AND(YEAR(MarSun1+16)=CalendarYear,MONTH(MarSun1+16)=3),MarSun1+16,""),IF(AND(YEAR(MarSun1+23)=CalendarYear,MONTH(MarSun1+23)=3),MarSun1+23,""))</f>
        <v>45734</v>
      </c>
      <c r="U9" s="10">
        <f>IF(DAY(MarSun1)=1,IF(AND(YEAR(MarSun1+17)=CalendarYear,MONTH(MarSun1+17)=3),MarSun1+17,""),IF(AND(YEAR(MarSun1+24)=CalendarYear,MONTH(MarSun1+24)=3),MarSun1+24,""))</f>
        <v>45735</v>
      </c>
      <c r="V9" s="10">
        <f>IF(DAY(MarSun1)=1,IF(AND(YEAR(MarSun1+18)=CalendarYear,MONTH(MarSun1+18)=3),MarSun1+18,""),IF(AND(YEAR(MarSun1+25)=CalendarYear,MONTH(MarSun1+25)=3),MarSun1+25,""))</f>
        <v>45736</v>
      </c>
      <c r="W9" s="10">
        <f>IF(DAY(MarSun1)=1,IF(AND(YEAR(MarSun1+19)=CalendarYear,MONTH(MarSun1+19)=3),MarSun1+19,""),IF(AND(YEAR(MarSun1+26)=CalendarYear,MONTH(MarSun1+26)=3),MarSun1+26,""))</f>
        <v>45737</v>
      </c>
      <c r="X9" s="10">
        <f>IF(DAY(MarSun1)=1,IF(AND(YEAR(MarSun1+20)=CalendarYear,MONTH(MarSun1+20)=3),MarSun1+20,""),IF(AND(YEAR(MarSun1+27)=CalendarYear,MONTH(MarSun1+27)=3),MarSun1+27,""))</f>
        <v>45738</v>
      </c>
      <c r="Y9" s="27">
        <f>IF(DAY(MarSun1)=1,IF(AND(YEAR(MarSun1+21)=CalendarYear,MONTH(MarSun1+21)=3),MarSun1+21,""),IF(AND(YEAR(MarSun1+28)=CalendarYear,MONTH(MarSun1+28)=3),MarSun1+28,""))</f>
        <v>45739</v>
      </c>
      <c r="AA9" s="87"/>
      <c r="AJ9" s="2"/>
    </row>
    <row r="10" spans="1:36" ht="15" customHeight="1" x14ac:dyDescent="0.2">
      <c r="B10" s="2"/>
      <c r="C10" s="17">
        <f>IF(DAY(JanSun1)=1,IF(AND(YEAR(JanSun1+22)=CalendarYear,MONTH(JanSun1+22)=1),JanSun1+22,""),IF(AND(YEAR(JanSun1+29)=CalendarYear,MONTH(JanSun1+29)=1),JanSun1+29,""))</f>
        <v>45684</v>
      </c>
      <c r="D10" s="10">
        <f>IF(DAY(JanSun1)=1,IF(AND(YEAR(JanSun1+23)=CalendarYear,MONTH(JanSun1+23)=1),JanSun1+23,""),IF(AND(YEAR(JanSun1+30)=CalendarYear,MONTH(JanSun1+30)=1),JanSun1+30,""))</f>
        <v>45685</v>
      </c>
      <c r="E10" s="12">
        <f>IF(DAY(JanSun1)=1,IF(AND(YEAR(JanSun1+24)=CalendarYear,MONTH(JanSun1+24)=1),JanSun1+24,""),IF(AND(YEAR(JanSun1+31)=CalendarYear,MONTH(JanSun1+31)=1),JanSun1+31,""))</f>
        <v>45686</v>
      </c>
      <c r="F10" s="10">
        <f>IF(DAY(JanSun1)=1,IF(AND(YEAR(JanSun1+25)=CalendarYear,MONTH(JanSun1+25)=1),JanSun1+25,""),IF(AND(YEAR(JanSun1+32)=CalendarYear,MONTH(JanSun1+32)=1),JanSun1+32,""))</f>
        <v>45687</v>
      </c>
      <c r="G10" s="10">
        <f>IF(DAY(JanSun1)=1,IF(AND(YEAR(JanSun1+26)=CalendarYear,MONTH(JanSun1+26)=1),JanSun1+26,""),IF(AND(YEAR(JanSun1+33)=CalendarYear,MONTH(JanSun1+33)=1),JanSun1+33,""))</f>
        <v>45688</v>
      </c>
      <c r="H10" s="10" t="str">
        <f>IF(DAY(JanSun1)=1,IF(AND(YEAR(JanSun1+27)=CalendarYear,MONTH(JanSun1+27)=1),JanSun1+27,""),IF(AND(YEAR(JanSun1+34)=CalendarYear,MONTH(JanSun1+34)=1),JanSun1+34,""))</f>
        <v/>
      </c>
      <c r="I10" s="10" t="str">
        <f>IF(DAY(JanSun1)=1,IF(AND(YEAR(JanSun1+28)=CalendarYear,MONTH(JanSun1+28)=1),JanSun1+28,""),IF(AND(YEAR(JanSun1+35)=CalendarYear,MONTH(JanSun1+35)=1),JanSun1+35,""))</f>
        <v/>
      </c>
      <c r="J10" s="10"/>
      <c r="K10" s="10">
        <f>IF(DAY(FebSun1)=1,IF(AND(YEAR(FebSun1+22)=CalendarYear,MONTH(FebSun1+22)=2),FebSun1+22,""),IF(AND(YEAR(FebSun1+29)=CalendarYear,MONTH(FebSun1+29)=2),FebSun1+29,""))</f>
        <v>45712</v>
      </c>
      <c r="L10" s="10">
        <f>IF(DAY(FebSun1)=1,IF(AND(YEAR(FebSun1+23)=CalendarYear,MONTH(FebSun1+23)=2),FebSun1+23,""),IF(AND(YEAR(FebSun1+30)=CalendarYear,MONTH(FebSun1+30)=2),FebSun1+30,""))</f>
        <v>45713</v>
      </c>
      <c r="M10" s="10">
        <f>IF(DAY(FebSun1)=1,IF(AND(YEAR(FebSun1+24)=CalendarYear,MONTH(FebSun1+24)=2),FebSun1+24,""),IF(AND(YEAR(FebSun1+31)=CalendarYear,MONTH(FebSun1+31)=2),FebSun1+31,""))</f>
        <v>45714</v>
      </c>
      <c r="N10" s="10">
        <f>IF(DAY(FebSun1)=1,IF(AND(YEAR(FebSun1+25)=CalendarYear,MONTH(FebSun1+25)=2),FebSun1+25,""),IF(AND(YEAR(FebSun1+32)=CalendarYear,MONTH(FebSun1+32)=2),FebSun1+32,""))</f>
        <v>45715</v>
      </c>
      <c r="O10" s="10">
        <f>IF(DAY(FebSun1)=1,IF(AND(YEAR(FebSun1+26)=CalendarYear,MONTH(FebSun1+26)=2),FebSun1+26,""),IF(AND(YEAR(FebSun1+33)=CalendarYear,MONTH(FebSun1+33)=2),FebSun1+33,""))</f>
        <v>45716</v>
      </c>
      <c r="P10" s="10" t="str">
        <f>IF(DAY(FebSun1)=1,IF(AND(YEAR(FebSun1+27)=CalendarYear,MONTH(FebSun1+27)=2),FebSun1+27,""),IF(AND(YEAR(FebSun1+34)=CalendarYear,MONTH(FebSun1+34)=2),FebSun1+34,""))</f>
        <v/>
      </c>
      <c r="Q10" s="10" t="str">
        <f>IF(DAY(FebSun1)=1,IF(AND(YEAR(FebSun1+28)=CalendarYear,MONTH(FebSun1+28)=2),FebSun1+28,""),IF(AND(YEAR(FebSun1+35)=CalendarYear,MONTH(FebSun1+35)=2),FebSun1+35,""))</f>
        <v/>
      </c>
      <c r="R10" s="2"/>
      <c r="S10" s="10">
        <f>IF(DAY(MarSun1)=1,IF(AND(YEAR(MarSun1+22)=CalendarYear,MONTH(MarSun1+22)=3),MarSun1+22,""),IF(AND(YEAR(MarSun1+29)=CalendarYear,MONTH(MarSun1+29)=3),MarSun1+29,""))</f>
        <v>45740</v>
      </c>
      <c r="T10" s="10">
        <f>IF(DAY(MarSun1)=1,IF(AND(YEAR(MarSun1+23)=CalendarYear,MONTH(MarSun1+23)=3),MarSun1+23,""),IF(AND(YEAR(MarSun1+30)=CalendarYear,MONTH(MarSun1+30)=3),MarSun1+30,""))</f>
        <v>45741</v>
      </c>
      <c r="U10" s="10">
        <f>IF(DAY(MarSun1)=1,IF(AND(YEAR(MarSun1+24)=CalendarYear,MONTH(MarSun1+24)=3),MarSun1+24,""),IF(AND(YEAR(MarSun1+31)=CalendarYear,MONTH(MarSun1+31)=3),MarSun1+31,""))</f>
        <v>45742</v>
      </c>
      <c r="V10" s="10">
        <f>IF(DAY(MarSun1)=1,IF(AND(YEAR(MarSun1+25)=CalendarYear,MONTH(MarSun1+25)=3),MarSun1+25,""),IF(AND(YEAR(MarSun1+32)=CalendarYear,MONTH(MarSun1+32)=3),MarSun1+32,""))</f>
        <v>45743</v>
      </c>
      <c r="W10" s="10">
        <f>IF(DAY(MarSun1)=1,IF(AND(YEAR(MarSun1+26)=CalendarYear,MONTH(MarSun1+26)=3),MarSun1+26,""),IF(AND(YEAR(MarSun1+33)=CalendarYear,MONTH(MarSun1+33)=3),MarSun1+33,""))</f>
        <v>45744</v>
      </c>
      <c r="X10" s="10">
        <f>IF(DAY(MarSun1)=1,IF(AND(YEAR(MarSun1+27)=CalendarYear,MONTH(MarSun1+27)=3),MarSun1+27,""),IF(AND(YEAR(MarSun1+34)=CalendarYear,MONTH(MarSun1+34)=3),MarSun1+34,""))</f>
        <v>45745</v>
      </c>
      <c r="Y10" s="27">
        <f>IF(DAY(MarSun1)=1,IF(AND(YEAR(MarSun1+28)=CalendarYear,MONTH(MarSun1+28)=3),MarSun1+28,""),IF(AND(YEAR(MarSun1+35)=CalendarYear,MONTH(MarSun1+35)=3),MarSun1+35,""))</f>
        <v>45746</v>
      </c>
      <c r="AA10" s="87"/>
      <c r="AB10" s="11"/>
      <c r="AJ10" s="2"/>
    </row>
    <row r="11" spans="1:36" ht="15" customHeight="1" x14ac:dyDescent="0.2">
      <c r="B11" s="2"/>
      <c r="C11" s="17" t="str">
        <f>IF(DAY(JanSun1)=1,IF(AND(YEAR(JanSun1+29)=CalendarYear,MONTH(JanSun1+29)=1),JanSun1+29,""),IF(AND(YEAR(JanSun1+36)=CalendarYear,MONTH(JanSun1+36)=1),JanSun1+36,""))</f>
        <v/>
      </c>
      <c r="D11" s="10" t="str">
        <f>IF(DAY(JanSun1)=1,IF(AND(YEAR(JanSun1+30)=CalendarYear,MONTH(JanSun1+30)=1),JanSun1+30,""),IF(AND(YEAR(JanSun1+37)=CalendarYear,MONTH(JanSun1+37)=1),JanSun1+37,""))</f>
        <v/>
      </c>
      <c r="E11" s="10" t="str">
        <f>IF(DAY(JanSun1)=1,IF(AND(YEAR(JanSun1+31)=CalendarYear,MONTH(JanSun1+31)=1),JanSun1+31,""),IF(AND(YEAR(JanSun1+38)=CalendarYear,MONTH(JanSun1+38)=1),JanSun1+38,""))</f>
        <v/>
      </c>
      <c r="F11" s="10" t="str">
        <f>IF(DAY(JanSun1)=1,IF(AND(YEAR(JanSun1+32)=CalendarYear,MONTH(JanSun1+32)=1),JanSun1+32,""),IF(AND(YEAR(JanSun1+39)=CalendarYear,MONTH(JanSun1+39)=1),JanSun1+39,""))</f>
        <v/>
      </c>
      <c r="G11" s="10" t="str">
        <f>IF(DAY(JanSun1)=1,IF(AND(YEAR(JanSun1+33)=CalendarYear,MONTH(JanSun1+33)=1),JanSun1+33,""),IF(AND(YEAR(JanSun1+40)=CalendarYear,MONTH(JanSun1+40)=1),JanSun1+40,""))</f>
        <v/>
      </c>
      <c r="H11" s="10" t="str">
        <f>IF(DAY(JanSun1)=1,IF(AND(YEAR(JanSun1+34)=CalendarYear,MONTH(JanSun1+34)=1),JanSun1+34,""),IF(AND(YEAR(JanSun1+41)=CalendarYear,MONTH(JanSun1+41)=1),JanSun1+41,""))</f>
        <v/>
      </c>
      <c r="I11" s="10" t="str">
        <f>IF(DAY(JanSun1)=1,IF(AND(YEAR(JanSun1+35)=CalendarYear,MONTH(JanSun1+35)=1),JanSun1+35,""),IF(AND(YEAR(JanSun1+42)=CalendarYear,MONTH(JanSun1+42)=1),JanSun1+42,""))</f>
        <v/>
      </c>
      <c r="J11" s="10"/>
      <c r="K11" s="10" t="str">
        <f>IF(DAY(FebSun1)=1,IF(AND(YEAR(FebSun1+29)=CalendarYear,MONTH(FebSun1+29)=2),FebSun1+29,""),IF(AND(YEAR(FebSun1+36)=CalendarYear,MONTH(FebSun1+36)=2),FebSun1+36,""))</f>
        <v/>
      </c>
      <c r="L11" s="10" t="str">
        <f>IF(DAY(FebSun1)=1,IF(AND(YEAR(FebSun1+30)=CalendarYear,MONTH(FebSun1+30)=2),FebSun1+30,""),IF(AND(YEAR(FebSun1+37)=CalendarYear,MONTH(FebSun1+37)=2),FebSun1+37,""))</f>
        <v/>
      </c>
      <c r="M11" s="10" t="str">
        <f>IF(DAY(FebSun1)=1,IF(AND(YEAR(FebSun1+31)=CalendarYear,MONTH(FebSun1+31)=2),FebSun1+31,""),IF(AND(YEAR(FebSun1+38)=CalendarYear,MONTH(FebSun1+38)=2),FebSun1+38,""))</f>
        <v/>
      </c>
      <c r="N11" s="10" t="str">
        <f>IF(DAY(FebSun1)=1,IF(AND(YEAR(FebSun1+32)=CalendarYear,MONTH(FebSun1+32)=2),FebSun1+32,""),IF(AND(YEAR(FebSun1+39)=CalendarYear,MONTH(FebSun1+39)=2),FebSun1+39,""))</f>
        <v/>
      </c>
      <c r="O11" s="10" t="str">
        <f>IF(DAY(FebSun1)=1,IF(AND(YEAR(FebSun1+33)=CalendarYear,MONTH(FebSun1+33)=2),FebSun1+33,""),IF(AND(YEAR(FebSun1+40)=CalendarYear,MONTH(FebSun1+40)=2),FebSun1+40,""))</f>
        <v/>
      </c>
      <c r="P11" s="10" t="str">
        <f>IF(DAY(FebSun1)=1,IF(AND(YEAR(FebSun1+34)=CalendarYear,MONTH(FebSun1+34)=2),FebSun1+34,""),IF(AND(YEAR(FebSun1+41)=CalendarYear,MONTH(FebSun1+41)=2),FebSun1+41,""))</f>
        <v/>
      </c>
      <c r="Q11" s="10" t="str">
        <f>IF(DAY(FebSun1)=1,IF(AND(YEAR(FebSun1+35)=CalendarYear,MONTH(FebSun1+35)=2),FebSun1+35,""),IF(AND(YEAR(FebSun1+42)=CalendarYear,MONTH(FebSun1+42)=2),FebSun1+42,""))</f>
        <v/>
      </c>
      <c r="R11" s="2"/>
      <c r="S11" s="10">
        <f>IF(DAY(MarSun1)=1,IF(AND(YEAR(MarSun1+29)=CalendarYear,MONTH(MarSun1+29)=3),MarSun1+29,""),IF(AND(YEAR(MarSun1+36)=CalendarYear,MONTH(MarSun1+36)=3),MarSun1+36,""))</f>
        <v>45747</v>
      </c>
      <c r="T11" s="10" t="str">
        <f>IF(DAY(MarSun1)=1,IF(AND(YEAR(MarSun1+30)=CalendarYear,MONTH(MarSun1+30)=3),MarSun1+30,""),IF(AND(YEAR(MarSun1+37)=CalendarYear,MONTH(MarSun1+37)=3),MarSun1+37,""))</f>
        <v/>
      </c>
      <c r="U11" s="10" t="str">
        <f>IF(DAY(MarSun1)=1,IF(AND(YEAR(MarSun1+31)=CalendarYear,MONTH(MarSun1+31)=3),MarSun1+31,""),IF(AND(YEAR(MarSun1+38)=CalendarYear,MONTH(MarSun1+38)=3),MarSun1+38,""))</f>
        <v/>
      </c>
      <c r="V11" s="10" t="str">
        <f>IF(DAY(MarSun1)=1,IF(AND(YEAR(MarSun1+32)=CalendarYear,MONTH(MarSun1+32)=3),MarSun1+32,""),IF(AND(YEAR(MarSun1+39)=CalendarYear,MONTH(MarSun1+39)=3),MarSun1+39,""))</f>
        <v/>
      </c>
      <c r="W11" s="10" t="str">
        <f>IF(DAY(MarSun1)=1,IF(AND(YEAR(MarSun1+33)=CalendarYear,MONTH(MarSun1+33)=3),MarSun1+33,""),IF(AND(YEAR(MarSun1+40)=CalendarYear,MONTH(MarSun1+40)=3),MarSun1+40,""))</f>
        <v/>
      </c>
      <c r="X11" s="10" t="str">
        <f>IF(DAY(MarSun1)=1,IF(AND(YEAR(MarSun1+34)=CalendarYear,MONTH(MarSun1+34)=3),MarSun1+34,""),IF(AND(YEAR(MarSun1+41)=CalendarYear,MONTH(MarSun1+41)=3),MarSun1+41,""))</f>
        <v/>
      </c>
      <c r="Y11" s="27" t="str">
        <f>IF(DAY(MarSun1)=1,IF(AND(YEAR(MarSun1+35)=CalendarYear,MONTH(MarSun1+35)=3),MarSun1+35,""),IF(AND(YEAR(MarSun1+42)=CalendarYear,MONTH(MarSun1+42)=3),MarSun1+42,""))</f>
        <v/>
      </c>
      <c r="AA11" s="87"/>
      <c r="AB11" s="11"/>
      <c r="AJ11" s="2"/>
    </row>
    <row r="12" spans="1:36" ht="15" x14ac:dyDescent="0.2">
      <c r="A12" s="6"/>
      <c r="C12" s="75" t="s">
        <v>14</v>
      </c>
      <c r="D12" s="76"/>
      <c r="E12" s="76"/>
      <c r="F12" s="76"/>
      <c r="G12" s="76"/>
      <c r="H12" s="76"/>
      <c r="I12" s="76"/>
      <c r="J12" s="21"/>
      <c r="K12" s="76" t="s">
        <v>3</v>
      </c>
      <c r="L12" s="76"/>
      <c r="M12" s="76"/>
      <c r="N12" s="76"/>
      <c r="O12" s="76"/>
      <c r="P12" s="76"/>
      <c r="Q12" s="76"/>
      <c r="R12" s="2"/>
      <c r="S12" s="76" t="s">
        <v>15</v>
      </c>
      <c r="T12" s="76"/>
      <c r="U12" s="76"/>
      <c r="V12" s="76"/>
      <c r="W12" s="76"/>
      <c r="X12" s="76"/>
      <c r="Y12" s="77"/>
      <c r="AA12" s="87"/>
      <c r="AB12" s="11"/>
      <c r="AC12" s="9"/>
      <c r="AF12" s="9"/>
      <c r="AG12" s="9"/>
      <c r="AH12" s="9"/>
      <c r="AI12" s="9"/>
      <c r="AJ12" s="2"/>
    </row>
    <row r="13" spans="1:36" ht="15" customHeight="1" x14ac:dyDescent="0.25">
      <c r="A13" s="6"/>
      <c r="B13" s="2"/>
      <c r="C13" s="16" t="s">
        <v>1</v>
      </c>
      <c r="D13" s="4" t="s">
        <v>7</v>
      </c>
      <c r="E13" s="4" t="s">
        <v>8</v>
      </c>
      <c r="F13" s="4" t="s">
        <v>9</v>
      </c>
      <c r="G13" s="4" t="s">
        <v>10</v>
      </c>
      <c r="H13" s="4" t="s">
        <v>11</v>
      </c>
      <c r="I13" s="4" t="s">
        <v>12</v>
      </c>
      <c r="J13" s="3"/>
      <c r="K13" s="4" t="s">
        <v>1</v>
      </c>
      <c r="L13" s="4" t="s">
        <v>7</v>
      </c>
      <c r="M13" s="4" t="s">
        <v>8</v>
      </c>
      <c r="N13" s="4" t="s">
        <v>9</v>
      </c>
      <c r="O13" s="4" t="s">
        <v>10</v>
      </c>
      <c r="P13" s="4" t="s">
        <v>11</v>
      </c>
      <c r="Q13" s="4" t="s">
        <v>12</v>
      </c>
      <c r="R13" s="2"/>
      <c r="S13" s="4" t="s">
        <v>1</v>
      </c>
      <c r="T13" s="4" t="s">
        <v>7</v>
      </c>
      <c r="U13" s="4" t="s">
        <v>8</v>
      </c>
      <c r="V13" s="4" t="s">
        <v>9</v>
      </c>
      <c r="W13" s="4" t="s">
        <v>10</v>
      </c>
      <c r="X13" s="4" t="s">
        <v>11</v>
      </c>
      <c r="Y13" s="26" t="s">
        <v>12</v>
      </c>
      <c r="AA13" s="31" t="s">
        <v>23</v>
      </c>
      <c r="AB13" s="34"/>
      <c r="AJ13" s="2"/>
    </row>
    <row r="14" spans="1:36" ht="15" customHeight="1" x14ac:dyDescent="0.2">
      <c r="B14" s="2"/>
      <c r="C14" s="17" t="str">
        <f>IF(DAY(AprSun1)=1,"",IF(AND(YEAR(AprSun1+1)=CalendarYear,MONTH(AprSun1+1)=4),AprSun1+1,""))</f>
        <v/>
      </c>
      <c r="D14" s="10">
        <f>IF(DAY(AprSun1)=1,"",IF(AND(YEAR(AprSun1+2)=CalendarYear,MONTH(AprSun1+2)=4),AprSun1+2,""))</f>
        <v>45748</v>
      </c>
      <c r="E14" s="10">
        <f>IF(DAY(AprSun1)=1,"",IF(AND(YEAR(AprSun1+3)=CalendarYear,MONTH(AprSun1+3)=4),AprSun1+3,""))</f>
        <v>45749</v>
      </c>
      <c r="F14" s="10">
        <f>IF(DAY(AprSun1)=1,"",IF(AND(YEAR(AprSun1+4)=CalendarYear,MONTH(AprSun1+4)=4),AprSun1+4,""))</f>
        <v>45750</v>
      </c>
      <c r="G14" s="10">
        <f>IF(DAY(AprSun1)=1,"",IF(AND(YEAR(AprSun1+5)=CalendarYear,MONTH(AprSun1+5)=4),AprSun1+5,""))</f>
        <v>45751</v>
      </c>
      <c r="H14" s="10">
        <f>IF(DAY(AprSun1)=1,"",IF(AND(YEAR(AprSun1+6)=CalendarYear,MONTH(AprSun1+6)=4),AprSun1+6,""))</f>
        <v>45752</v>
      </c>
      <c r="I14" s="10">
        <f>IF(DAY(AprSun1)=1,IF(AND(YEAR(AprSun1)=CalendarYear,MONTH(AprSun1)=4),AprSun1,""),IF(AND(YEAR(AprSun1+7)=CalendarYear,MONTH(AprSun1+7)=4),AprSun1+7,""))</f>
        <v>45753</v>
      </c>
      <c r="J14" s="8"/>
      <c r="K14" s="10" t="str">
        <f>IF(DAY(MaySun1)=1,"",IF(AND(YEAR(MaySun1+1)=CalendarYear,MONTH(MaySun1+1)=5),MaySun1+1,""))</f>
        <v/>
      </c>
      <c r="L14" s="10" t="str">
        <f>IF(DAY(MaySun1)=1,"",IF(AND(YEAR(MaySun1+2)=CalendarYear,MONTH(MaySun1+2)=5),MaySun1+2,""))</f>
        <v/>
      </c>
      <c r="M14" s="10" t="str">
        <f>IF(DAY(MaySun1)=1,"",IF(AND(YEAR(MaySun1+3)=CalendarYear,MONTH(MaySun1+3)=5),MaySun1+3,""))</f>
        <v/>
      </c>
      <c r="N14" s="10">
        <f>IF(DAY(MaySun1)=1,"",IF(AND(YEAR(MaySun1+4)=CalendarYear,MONTH(MaySun1+4)=5),MaySun1+4,""))</f>
        <v>45778</v>
      </c>
      <c r="O14" s="10">
        <f>IF(DAY(MaySun1)=1,"",IF(AND(YEAR(MaySun1+5)=CalendarYear,MONTH(MaySun1+5)=5),MaySun1+5,""))</f>
        <v>45779</v>
      </c>
      <c r="P14" s="10">
        <f>IF(DAY(MaySun1)=1,"",IF(AND(YEAR(MaySun1+6)=CalendarYear,MONTH(MaySun1+6)=5),MaySun1+6,""))</f>
        <v>45780</v>
      </c>
      <c r="Q14" s="10">
        <f>IF(DAY(MaySun1)=1,IF(AND(YEAR(MaySun1)=CalendarYear,MONTH(MaySun1)=5),MaySun1,""),IF(AND(YEAR(MaySun1+7)=CalendarYear,MONTH(MaySun1+7)=5),MaySun1+7,""))</f>
        <v>45781</v>
      </c>
      <c r="R14" s="2"/>
      <c r="S14" s="10" t="str">
        <f>IF(DAY(JunSun1)=1,"",IF(AND(YEAR(JunSun1+1)=CalendarYear,MONTH(JunSun1+1)=6),JunSun1+1,""))</f>
        <v/>
      </c>
      <c r="T14" s="10" t="str">
        <f>IF(DAY(JunSun1)=1,"",IF(AND(YEAR(JunSun1+2)=CalendarYear,MONTH(JunSun1+2)=6),JunSun1+2,""))</f>
        <v/>
      </c>
      <c r="U14" s="10" t="str">
        <f>IF(DAY(JunSun1)=1,"",IF(AND(YEAR(JunSun1+3)=CalendarYear,MONTH(JunSun1+3)=6),JunSun1+3,""))</f>
        <v/>
      </c>
      <c r="V14" s="10" t="str">
        <f>IF(DAY(JunSun1)=1,"",IF(AND(YEAR(JunSun1+4)=CalendarYear,MONTH(JunSun1+4)=6),JunSun1+4,""))</f>
        <v/>
      </c>
      <c r="W14" s="10" t="str">
        <f>IF(DAY(JunSun1)=1,"",IF(AND(YEAR(JunSun1+5)=CalendarYear,MONTH(JunSun1+5)=6),JunSun1+5,""))</f>
        <v/>
      </c>
      <c r="X14" s="10" t="str">
        <f>IF(DAY(JunSun1)=1,"",IF(AND(YEAR(JunSun1+6)=CalendarYear,MONTH(JunSun1+6)=6),JunSun1+6,""))</f>
        <v/>
      </c>
      <c r="Y14" s="27">
        <f>IF(DAY(JunSun1)=1,IF(AND(YEAR(JunSun1)=CalendarYear,MONTH(JunSun1)=6),JunSun1,""),IF(AND(YEAR(JunSun1+7)=CalendarYear,MONTH(JunSun1+7)=6),JunSun1+7,""))</f>
        <v>45809</v>
      </c>
      <c r="AA14" s="85" t="s">
        <v>74</v>
      </c>
      <c r="AB14" s="11"/>
      <c r="AJ14" s="2"/>
    </row>
    <row r="15" spans="1:36" ht="15" customHeight="1" x14ac:dyDescent="0.2">
      <c r="A15" s="6"/>
      <c r="B15" s="2"/>
      <c r="C15" s="17">
        <f>IF(DAY(AprSun1)=1,IF(AND(YEAR(AprSun1+1)=CalendarYear,MONTH(AprSun1+1)=4),AprSun1+1,""),IF(AND(YEAR(AprSun1+8)=CalendarYear,MONTH(AprSun1+8)=4),AprSun1+8,""))</f>
        <v>45754</v>
      </c>
      <c r="D15" s="10">
        <f>IF(DAY(AprSun1)=1,IF(AND(YEAR(AprSun1+2)=CalendarYear,MONTH(AprSun1+2)=4),AprSun1+2,""),IF(AND(YEAR(AprSun1+9)=CalendarYear,MONTH(AprSun1+9)=4),AprSun1+9,""))</f>
        <v>45755</v>
      </c>
      <c r="E15" s="10">
        <f>IF(DAY(AprSun1)=1,IF(AND(YEAR(AprSun1+3)=CalendarYear,MONTH(AprSun1+3)=4),AprSun1+3,""),IF(AND(YEAR(AprSun1+10)=CalendarYear,MONTH(AprSun1+10)=4),AprSun1+10,""))</f>
        <v>45756</v>
      </c>
      <c r="F15" s="10">
        <f>IF(DAY(AprSun1)=1,IF(AND(YEAR(AprSun1+4)=CalendarYear,MONTH(AprSun1+4)=4),AprSun1+4,""),IF(AND(YEAR(AprSun1+11)=CalendarYear,MONTH(AprSun1+11)=4),AprSun1+11,""))</f>
        <v>45757</v>
      </c>
      <c r="G15" s="10">
        <f>IF(DAY(AprSun1)=1,IF(AND(YEAR(AprSun1+5)=CalendarYear,MONTH(AprSun1+5)=4),AprSun1+5,""),IF(AND(YEAR(AprSun1+12)=CalendarYear,MONTH(AprSun1+12)=4),AprSun1+12,""))</f>
        <v>45758</v>
      </c>
      <c r="H15" s="10">
        <f>IF(DAY(AprSun1)=1,IF(AND(YEAR(AprSun1+6)=CalendarYear,MONTH(AprSun1+6)=4),AprSun1+6,""),IF(AND(YEAR(AprSun1+13)=CalendarYear,MONTH(AprSun1+13)=4),AprSun1+13,""))</f>
        <v>45759</v>
      </c>
      <c r="I15" s="10">
        <f>IF(DAY(AprSun1)=1,IF(AND(YEAR(AprSun1+7)=CalendarYear,MONTH(AprSun1+7)=4),AprSun1+7,""),IF(AND(YEAR(AprSun1+14)=CalendarYear,MONTH(AprSun1+14)=4),AprSun1+14,""))</f>
        <v>45760</v>
      </c>
      <c r="J15" s="10"/>
      <c r="K15" s="10">
        <f>IF(DAY(MaySun1)=1,IF(AND(YEAR(MaySun1+1)=CalendarYear,MONTH(MaySun1+1)=5),MaySun1+1,""),IF(AND(YEAR(MaySun1+8)=CalendarYear,MONTH(MaySun1+8)=5),MaySun1+8,""))</f>
        <v>45782</v>
      </c>
      <c r="L15" s="10">
        <f>IF(DAY(MaySun1)=1,IF(AND(YEAR(MaySun1+2)=CalendarYear,MONTH(MaySun1+2)=5),MaySun1+2,""),IF(AND(YEAR(MaySun1+9)=CalendarYear,MONTH(MaySun1+9)=5),MaySun1+9,""))</f>
        <v>45783</v>
      </c>
      <c r="M15" s="10">
        <f>IF(DAY(MaySun1)=1,IF(AND(YEAR(MaySun1+3)=CalendarYear,MONTH(MaySun1+3)=5),MaySun1+3,""),IF(AND(YEAR(MaySun1+10)=CalendarYear,MONTH(MaySun1+10)=5),MaySun1+10,""))</f>
        <v>45784</v>
      </c>
      <c r="N15" s="10">
        <f>IF(DAY(MaySun1)=1,IF(AND(YEAR(MaySun1+4)=CalendarYear,MONTH(MaySun1+4)=5),MaySun1+4,""),IF(AND(YEAR(MaySun1+11)=CalendarYear,MONTH(MaySun1+11)=5),MaySun1+11,""))</f>
        <v>45785</v>
      </c>
      <c r="O15" s="10">
        <f>IF(DAY(MaySun1)=1,IF(AND(YEAR(MaySun1+5)=CalendarYear,MONTH(MaySun1+5)=5),MaySun1+5,""),IF(AND(YEAR(MaySun1+12)=CalendarYear,MONTH(MaySun1+12)=5),MaySun1+12,""))</f>
        <v>45786</v>
      </c>
      <c r="P15" s="10">
        <f>IF(DAY(MaySun1)=1,IF(AND(YEAR(MaySun1+6)=CalendarYear,MONTH(MaySun1+6)=5),MaySun1+6,""),IF(AND(YEAR(MaySun1+13)=CalendarYear,MONTH(MaySun1+13)=5),MaySun1+13,""))</f>
        <v>45787</v>
      </c>
      <c r="Q15" s="10">
        <f>IF(DAY(MaySun1)=1,IF(AND(YEAR(MaySun1+7)=CalendarYear,MONTH(MaySun1+7)=5),MaySun1+7,""),IF(AND(YEAR(MaySun1+14)=CalendarYear,MONTH(MaySun1+14)=5),MaySun1+14,""))</f>
        <v>45788</v>
      </c>
      <c r="R15" s="2"/>
      <c r="S15" s="10">
        <f>IF(DAY(JunSun1)=1,IF(AND(YEAR(JunSun1+1)=CalendarYear,MONTH(JunSun1+1)=6),JunSun1+1,""),IF(AND(YEAR(JunSun1+8)=CalendarYear,MONTH(JunSun1+8)=6),JunSun1+8,""))</f>
        <v>45810</v>
      </c>
      <c r="T15" s="10">
        <f>IF(DAY(JunSun1)=1,IF(AND(YEAR(JunSun1+2)=CalendarYear,MONTH(JunSun1+2)=6),JunSun1+2,""),IF(AND(YEAR(JunSun1+9)=CalendarYear,MONTH(JunSun1+9)=6),JunSun1+9,""))</f>
        <v>45811</v>
      </c>
      <c r="U15" s="10">
        <f>IF(DAY(JunSun1)=1,IF(AND(YEAR(JunSun1+3)=CalendarYear,MONTH(JunSun1+3)=6),JunSun1+3,""),IF(AND(YEAR(JunSun1+10)=CalendarYear,MONTH(JunSun1+10)=6),JunSun1+10,""))</f>
        <v>45812</v>
      </c>
      <c r="V15" s="10">
        <f>IF(DAY(JunSun1)=1,IF(AND(YEAR(JunSun1+4)=CalendarYear,MONTH(JunSun1+4)=6),JunSun1+4,""),IF(AND(YEAR(JunSun1+11)=CalendarYear,MONTH(JunSun1+11)=6),JunSun1+11,""))</f>
        <v>45813</v>
      </c>
      <c r="W15" s="10">
        <f>IF(DAY(JunSun1)=1,IF(AND(YEAR(JunSun1+5)=CalendarYear,MONTH(JunSun1+5)=6),JunSun1+5,""),IF(AND(YEAR(JunSun1+12)=CalendarYear,MONTH(JunSun1+12)=6),JunSun1+12,""))</f>
        <v>45814</v>
      </c>
      <c r="X15" s="10">
        <f>IF(DAY(JunSun1)=1,IF(AND(YEAR(JunSun1+6)=CalendarYear,MONTH(JunSun1+6)=6),JunSun1+6,""),IF(AND(YEAR(JunSun1+13)=CalendarYear,MONTH(JunSun1+13)=6),JunSun1+13,""))</f>
        <v>45815</v>
      </c>
      <c r="Y15" s="27">
        <f>IF(DAY(JunSun1)=1,IF(AND(YEAR(JunSun1+7)=CalendarYear,MONTH(JunSun1+7)=6),JunSun1+7,""),IF(AND(YEAR(JunSun1+14)=CalendarYear,MONTH(JunSun1+14)=6),JunSun1+14,""))</f>
        <v>45816</v>
      </c>
      <c r="AA15" s="84"/>
      <c r="AB15" s="8"/>
      <c r="AJ15" s="2"/>
    </row>
    <row r="16" spans="1:36" ht="15" customHeight="1" x14ac:dyDescent="0.2">
      <c r="B16" s="2"/>
      <c r="C16" s="17">
        <f>IF(DAY(AprSun1)=1,IF(AND(YEAR(AprSun1+8)=CalendarYear,MONTH(AprSun1+8)=4),AprSun1+8,""),IF(AND(YEAR(AprSun1+15)=CalendarYear,MONTH(AprSun1+15)=4),AprSun1+15,""))</f>
        <v>45761</v>
      </c>
      <c r="D16" s="10">
        <f>IF(DAY(AprSun1)=1,IF(AND(YEAR(AprSun1+9)=CalendarYear,MONTH(AprSun1+9)=4),AprSun1+9,""),IF(AND(YEAR(AprSun1+16)=CalendarYear,MONTH(AprSun1+16)=4),AprSun1+16,""))</f>
        <v>45762</v>
      </c>
      <c r="E16" s="10">
        <f>IF(DAY(AprSun1)=1,IF(AND(YEAR(AprSun1+10)=CalendarYear,MONTH(AprSun1+10)=4),AprSun1+10,""),IF(AND(YEAR(AprSun1+17)=CalendarYear,MONTH(AprSun1+17)=4),AprSun1+17,""))</f>
        <v>45763</v>
      </c>
      <c r="F16" s="10">
        <f>IF(DAY(AprSun1)=1,IF(AND(YEAR(AprSun1+11)=CalendarYear,MONTH(AprSun1+11)=4),AprSun1+11,""),IF(AND(YEAR(AprSun1+18)=CalendarYear,MONTH(AprSun1+18)=4),AprSun1+18,""))</f>
        <v>45764</v>
      </c>
      <c r="G16" s="10">
        <f>IF(DAY(AprSun1)=1,IF(AND(YEAR(AprSun1+12)=CalendarYear,MONTH(AprSun1+12)=4),AprSun1+12,""),IF(AND(YEAR(AprSun1+19)=CalendarYear,MONTH(AprSun1+19)=4),AprSun1+19,""))</f>
        <v>45765</v>
      </c>
      <c r="H16" s="10">
        <f>IF(DAY(AprSun1)=1,IF(AND(YEAR(AprSun1+13)=CalendarYear,MONTH(AprSun1+13)=4),AprSun1+13,""),IF(AND(YEAR(AprSun1+20)=CalendarYear,MONTH(AprSun1+20)=4),AprSun1+20,""))</f>
        <v>45766</v>
      </c>
      <c r="I16" s="10">
        <f>IF(DAY(AprSun1)=1,IF(AND(YEAR(AprSun1+14)=CalendarYear,MONTH(AprSun1+14)=4),AprSun1+14,""),IF(AND(YEAR(AprSun1+21)=CalendarYear,MONTH(AprSun1+21)=4),AprSun1+21,""))</f>
        <v>45767</v>
      </c>
      <c r="J16" s="10"/>
      <c r="K16" s="10">
        <f>IF(DAY(MaySun1)=1,IF(AND(YEAR(MaySun1+8)=CalendarYear,MONTH(MaySun1+8)=5),MaySun1+8,""),IF(AND(YEAR(MaySun1+15)=CalendarYear,MONTH(MaySun1+15)=5),MaySun1+15,""))</f>
        <v>45789</v>
      </c>
      <c r="L16" s="10">
        <f>IF(DAY(MaySun1)=1,IF(AND(YEAR(MaySun1+9)=CalendarYear,MONTH(MaySun1+9)=5),MaySun1+9,""),IF(AND(YEAR(MaySun1+16)=CalendarYear,MONTH(MaySun1+16)=5),MaySun1+16,""))</f>
        <v>45790</v>
      </c>
      <c r="M16" s="10">
        <f>IF(DAY(MaySun1)=1,IF(AND(YEAR(MaySun1+10)=CalendarYear,MONTH(MaySun1+10)=5),MaySun1+10,""),IF(AND(YEAR(MaySun1+17)=CalendarYear,MONTH(MaySun1+17)=5),MaySun1+17,""))</f>
        <v>45791</v>
      </c>
      <c r="N16" s="10">
        <f>IF(DAY(MaySun1)=1,IF(AND(YEAR(MaySun1+11)=CalendarYear,MONTH(MaySun1+11)=5),MaySun1+11,""),IF(AND(YEAR(MaySun1+18)=CalendarYear,MONTH(MaySun1+18)=5),MaySun1+18,""))</f>
        <v>45792</v>
      </c>
      <c r="O16" s="10">
        <f>IF(DAY(MaySun1)=1,IF(AND(YEAR(MaySun1+12)=CalendarYear,MONTH(MaySun1+12)=5),MaySun1+12,""),IF(AND(YEAR(MaySun1+19)=CalendarYear,MONTH(MaySun1+19)=5),MaySun1+19,""))</f>
        <v>45793</v>
      </c>
      <c r="P16" s="10">
        <f>IF(DAY(MaySun1)=1,IF(AND(YEAR(MaySun1+13)=CalendarYear,MONTH(MaySun1+13)=5),MaySun1+13,""),IF(AND(YEAR(MaySun1+20)=CalendarYear,MONTH(MaySun1+20)=5),MaySun1+20,""))</f>
        <v>45794</v>
      </c>
      <c r="Q16" s="10">
        <f>IF(DAY(MaySun1)=1,IF(AND(YEAR(MaySun1+14)=CalendarYear,MONTH(MaySun1+14)=5),MaySun1+14,""),IF(AND(YEAR(MaySun1+21)=CalendarYear,MONTH(MaySun1+21)=5),MaySun1+21,""))</f>
        <v>45795</v>
      </c>
      <c r="R16" s="2"/>
      <c r="S16" s="10">
        <f>IF(DAY(JunSun1)=1,IF(AND(YEAR(JunSun1+8)=CalendarYear,MONTH(JunSun1+8)=6),JunSun1+8,""),IF(AND(YEAR(JunSun1+15)=CalendarYear,MONTH(JunSun1+15)=6),JunSun1+15,""))</f>
        <v>45817</v>
      </c>
      <c r="T16" s="10">
        <f>IF(DAY(JunSun1)=1,IF(AND(YEAR(JunSun1+9)=CalendarYear,MONTH(JunSun1+9)=6),JunSun1+9,""),IF(AND(YEAR(JunSun1+16)=CalendarYear,MONTH(JunSun1+16)=6),JunSun1+16,""))</f>
        <v>45818</v>
      </c>
      <c r="U16" s="10">
        <f>IF(DAY(JunSun1)=1,IF(AND(YEAR(JunSun1+10)=CalendarYear,MONTH(JunSun1+10)=6),JunSun1+10,""),IF(AND(YEAR(JunSun1+17)=CalendarYear,MONTH(JunSun1+17)=6),JunSun1+17,""))</f>
        <v>45819</v>
      </c>
      <c r="V16" s="10">
        <f>IF(DAY(JunSun1)=1,IF(AND(YEAR(JunSun1+11)=CalendarYear,MONTH(JunSun1+11)=6),JunSun1+11,""),IF(AND(YEAR(JunSun1+18)=CalendarYear,MONTH(JunSun1+18)=6),JunSun1+18,""))</f>
        <v>45820</v>
      </c>
      <c r="W16" s="10">
        <f>IF(DAY(JunSun1)=1,IF(AND(YEAR(JunSun1+12)=CalendarYear,MONTH(JunSun1+12)=6),JunSun1+12,""),IF(AND(YEAR(JunSun1+19)=CalendarYear,MONTH(JunSun1+19)=6),JunSun1+19,""))</f>
        <v>45821</v>
      </c>
      <c r="X16" s="10">
        <f>IF(DAY(JunSun1)=1,IF(AND(YEAR(JunSun1+13)=CalendarYear,MONTH(JunSun1+13)=6),JunSun1+13,""),IF(AND(YEAR(JunSun1+20)=CalendarYear,MONTH(JunSun1+20)=6),JunSun1+20,""))</f>
        <v>45822</v>
      </c>
      <c r="Y16" s="27">
        <f>IF(DAY(JunSun1)=1,IF(AND(YEAR(JunSun1+14)=CalendarYear,MONTH(JunSun1+14)=6),JunSun1+14,""),IF(AND(YEAR(JunSun1+21)=CalendarYear,MONTH(JunSun1+21)=6),JunSun1+21,""))</f>
        <v>45823</v>
      </c>
      <c r="AA16" s="84"/>
      <c r="AJ16" s="2"/>
    </row>
    <row r="17" spans="1:36" ht="15" customHeight="1" x14ac:dyDescent="0.2">
      <c r="B17" s="2"/>
      <c r="C17" s="17">
        <f>IF(DAY(AprSun1)=1,IF(AND(YEAR(AprSun1+15)=CalendarYear,MONTH(AprSun1+15)=4),AprSun1+15,""),IF(AND(YEAR(AprSun1+22)=CalendarYear,MONTH(AprSun1+22)=4),AprSun1+22,""))</f>
        <v>45768</v>
      </c>
      <c r="D17" s="10">
        <f>IF(DAY(AprSun1)=1,IF(AND(YEAR(AprSun1+16)=CalendarYear,MONTH(AprSun1+16)=4),AprSun1+16,""),IF(AND(YEAR(AprSun1+23)=CalendarYear,MONTH(AprSun1+23)=4),AprSun1+23,""))</f>
        <v>45769</v>
      </c>
      <c r="E17" s="10">
        <f>IF(DAY(AprSun1)=1,IF(AND(YEAR(AprSun1+17)=CalendarYear,MONTH(AprSun1+17)=4),AprSun1+17,""),IF(AND(YEAR(AprSun1+24)=CalendarYear,MONTH(AprSun1+24)=4),AprSun1+24,""))</f>
        <v>45770</v>
      </c>
      <c r="F17" s="10">
        <f>IF(DAY(AprSun1)=1,IF(AND(YEAR(AprSun1+18)=CalendarYear,MONTH(AprSun1+18)=4),AprSun1+18,""),IF(AND(YEAR(AprSun1+25)=CalendarYear,MONTH(AprSun1+25)=4),AprSun1+25,""))</f>
        <v>45771</v>
      </c>
      <c r="G17" s="10">
        <f>IF(DAY(AprSun1)=1,IF(AND(YEAR(AprSun1+19)=CalendarYear,MONTH(AprSun1+19)=4),AprSun1+19,""),IF(AND(YEAR(AprSun1+26)=CalendarYear,MONTH(AprSun1+26)=4),AprSun1+26,""))</f>
        <v>45772</v>
      </c>
      <c r="H17" s="10">
        <f>IF(DAY(AprSun1)=1,IF(AND(YEAR(AprSun1+20)=CalendarYear,MONTH(AprSun1+20)=4),AprSun1+20,""),IF(AND(YEAR(AprSun1+27)=CalendarYear,MONTH(AprSun1+27)=4),AprSun1+27,""))</f>
        <v>45773</v>
      </c>
      <c r="I17" s="10">
        <f>IF(DAY(AprSun1)=1,IF(AND(YEAR(AprSun1+21)=CalendarYear,MONTH(AprSun1+21)=4),AprSun1+21,""),IF(AND(YEAR(AprSun1+28)=CalendarYear,MONTH(AprSun1+28)=4),AprSun1+28,""))</f>
        <v>45774</v>
      </c>
      <c r="J17" s="10"/>
      <c r="K17" s="10">
        <f>IF(DAY(MaySun1)=1,IF(AND(YEAR(MaySun1+15)=CalendarYear,MONTH(MaySun1+15)=5),MaySun1+15,""),IF(AND(YEAR(MaySun1+22)=CalendarYear,MONTH(MaySun1+22)=5),MaySun1+22,""))</f>
        <v>45796</v>
      </c>
      <c r="L17" s="10">
        <f>IF(DAY(MaySun1)=1,IF(AND(YEAR(MaySun1+16)=CalendarYear,MONTH(MaySun1+16)=5),MaySun1+16,""),IF(AND(YEAR(MaySun1+23)=CalendarYear,MONTH(MaySun1+23)=5),MaySun1+23,""))</f>
        <v>45797</v>
      </c>
      <c r="M17" s="10">
        <f>IF(DAY(MaySun1)=1,IF(AND(YEAR(MaySun1+17)=CalendarYear,MONTH(MaySun1+17)=5),MaySun1+17,""),IF(AND(YEAR(MaySun1+24)=CalendarYear,MONTH(MaySun1+24)=5),MaySun1+24,""))</f>
        <v>45798</v>
      </c>
      <c r="N17" s="10">
        <f>IF(DAY(MaySun1)=1,IF(AND(YEAR(MaySun1+18)=CalendarYear,MONTH(MaySun1+18)=5),MaySun1+18,""),IF(AND(YEAR(MaySun1+25)=CalendarYear,MONTH(MaySun1+25)=5),MaySun1+25,""))</f>
        <v>45799</v>
      </c>
      <c r="O17" s="10">
        <f>IF(DAY(MaySun1)=1,IF(AND(YEAR(MaySun1+19)=CalendarYear,MONTH(MaySun1+19)=5),MaySun1+19,""),IF(AND(YEAR(MaySun1+26)=CalendarYear,MONTH(MaySun1+26)=5),MaySun1+26,""))</f>
        <v>45800</v>
      </c>
      <c r="P17" s="10">
        <f>IF(DAY(MaySun1)=1,IF(AND(YEAR(MaySun1+20)=CalendarYear,MONTH(MaySun1+20)=5),MaySun1+20,""),IF(AND(YEAR(MaySun1+27)=CalendarYear,MONTH(MaySun1+27)=5),MaySun1+27,""))</f>
        <v>45801</v>
      </c>
      <c r="Q17" s="10">
        <f>IF(DAY(MaySun1)=1,IF(AND(YEAR(MaySun1+21)=CalendarYear,MONTH(MaySun1+21)=5),MaySun1+21,""),IF(AND(YEAR(MaySun1+28)=CalendarYear,MONTH(MaySun1+28)=5),MaySun1+28,""))</f>
        <v>45802</v>
      </c>
      <c r="R17" s="2"/>
      <c r="S17" s="10">
        <f>IF(DAY(JunSun1)=1,IF(AND(YEAR(JunSun1+15)=CalendarYear,MONTH(JunSun1+15)=6),JunSun1+15,""),IF(AND(YEAR(JunSun1+22)=CalendarYear,MONTH(JunSun1+22)=6),JunSun1+22,""))</f>
        <v>45824</v>
      </c>
      <c r="T17" s="10">
        <f>IF(DAY(JunSun1)=1,IF(AND(YEAR(JunSun1+16)=CalendarYear,MONTH(JunSun1+16)=6),JunSun1+16,""),IF(AND(YEAR(JunSun1+23)=CalendarYear,MONTH(JunSun1+23)=6),JunSun1+23,""))</f>
        <v>45825</v>
      </c>
      <c r="U17" s="10">
        <f>IF(DAY(JunSun1)=1,IF(AND(YEAR(JunSun1+17)=CalendarYear,MONTH(JunSun1+17)=6),JunSun1+17,""),IF(AND(YEAR(JunSun1+24)=CalendarYear,MONTH(JunSun1+24)=6),JunSun1+24,""))</f>
        <v>45826</v>
      </c>
      <c r="V17" s="10">
        <f>IF(DAY(JunSun1)=1,IF(AND(YEAR(JunSun1+18)=CalendarYear,MONTH(JunSun1+18)=6),JunSun1+18,""),IF(AND(YEAR(JunSun1+25)=CalendarYear,MONTH(JunSun1+25)=6),JunSun1+25,""))</f>
        <v>45827</v>
      </c>
      <c r="W17" s="10">
        <f>IF(DAY(JunSun1)=1,IF(AND(YEAR(JunSun1+19)=CalendarYear,MONTH(JunSun1+19)=6),JunSun1+19,""),IF(AND(YEAR(JunSun1+26)=CalendarYear,MONTH(JunSun1+26)=6),JunSun1+26,""))</f>
        <v>45828</v>
      </c>
      <c r="X17" s="10">
        <f>IF(DAY(JunSun1)=1,IF(AND(YEAR(JunSun1+20)=CalendarYear,MONTH(JunSun1+20)=6),JunSun1+20,""),IF(AND(YEAR(JunSun1+27)=CalendarYear,MONTH(JunSun1+27)=6),JunSun1+27,""))</f>
        <v>45829</v>
      </c>
      <c r="Y17" s="27">
        <f>IF(DAY(JunSun1)=1,IF(AND(YEAR(JunSun1+21)=CalendarYear,MONTH(JunSun1+21)=6),JunSun1+21,""),IF(AND(YEAR(JunSun1+28)=CalendarYear,MONTH(JunSun1+28)=6),JunSun1+28,""))</f>
        <v>45830</v>
      </c>
      <c r="AA17" s="84"/>
      <c r="AJ17" s="2"/>
    </row>
    <row r="18" spans="1:36" ht="15" customHeight="1" x14ac:dyDescent="0.2">
      <c r="B18" s="2"/>
      <c r="C18" s="17">
        <f>IF(DAY(AprSun1)=1,IF(AND(YEAR(AprSun1+22)=CalendarYear,MONTH(AprSun1+22)=4),AprSun1+22,""),IF(AND(YEAR(AprSun1+29)=CalendarYear,MONTH(AprSun1+29)=4),AprSun1+29,""))</f>
        <v>45775</v>
      </c>
      <c r="D18" s="10">
        <f>IF(DAY(AprSun1)=1,IF(AND(YEAR(AprSun1+23)=CalendarYear,MONTH(AprSun1+23)=4),AprSun1+23,""),IF(AND(YEAR(AprSun1+30)=CalendarYear,MONTH(AprSun1+30)=4),AprSun1+30,""))</f>
        <v>45776</v>
      </c>
      <c r="E18" s="10">
        <f>IF(DAY(AprSun1)=1,IF(AND(YEAR(AprSun1+24)=CalendarYear,MONTH(AprSun1+24)=4),AprSun1+24,""),IF(AND(YEAR(AprSun1+31)=CalendarYear,MONTH(AprSun1+31)=4),AprSun1+31,""))</f>
        <v>45777</v>
      </c>
      <c r="F18" s="10" t="str">
        <f>IF(DAY(AprSun1)=1,IF(AND(YEAR(AprSun1+25)=CalendarYear,MONTH(AprSun1+25)=4),AprSun1+25,""),IF(AND(YEAR(AprSun1+32)=CalendarYear,MONTH(AprSun1+32)=4),AprSun1+32,""))</f>
        <v/>
      </c>
      <c r="G18" s="10" t="str">
        <f>IF(DAY(AprSun1)=1,IF(AND(YEAR(AprSun1+26)=CalendarYear,MONTH(AprSun1+26)=4),AprSun1+26,""),IF(AND(YEAR(AprSun1+33)=CalendarYear,MONTH(AprSun1+33)=4),AprSun1+33,""))</f>
        <v/>
      </c>
      <c r="H18" s="10" t="str">
        <f>IF(DAY(AprSun1)=1,IF(AND(YEAR(AprSun1+27)=CalendarYear,MONTH(AprSun1+27)=4),AprSun1+27,""),IF(AND(YEAR(AprSun1+34)=CalendarYear,MONTH(AprSun1+34)=4),AprSun1+34,""))</f>
        <v/>
      </c>
      <c r="I18" s="10" t="str">
        <f>IF(DAY(AprSun1)=1,IF(AND(YEAR(AprSun1+28)=CalendarYear,MONTH(AprSun1+28)=4),AprSun1+28,""),IF(AND(YEAR(AprSun1+35)=CalendarYear,MONTH(AprSun1+35)=4),AprSun1+35,""))</f>
        <v/>
      </c>
      <c r="J18" s="10"/>
      <c r="K18" s="10">
        <f>IF(DAY(MaySun1)=1,IF(AND(YEAR(MaySun1+22)=CalendarYear,MONTH(MaySun1+22)=5),MaySun1+22,""),IF(AND(YEAR(MaySun1+29)=CalendarYear,MONTH(MaySun1+29)=5),MaySun1+29,""))</f>
        <v>45803</v>
      </c>
      <c r="L18" s="10">
        <f>IF(DAY(MaySun1)=1,IF(AND(YEAR(MaySun1+23)=CalendarYear,MONTH(MaySun1+23)=5),MaySun1+23,""),IF(AND(YEAR(MaySun1+30)=CalendarYear,MONTH(MaySun1+30)=5),MaySun1+30,""))</f>
        <v>45804</v>
      </c>
      <c r="M18" s="10">
        <f>IF(DAY(MaySun1)=1,IF(AND(YEAR(MaySun1+24)=CalendarYear,MONTH(MaySun1+24)=5),MaySun1+24,""),IF(AND(YEAR(MaySun1+31)=CalendarYear,MONTH(MaySun1+31)=5),MaySun1+31,""))</f>
        <v>45805</v>
      </c>
      <c r="N18" s="10">
        <f>IF(DAY(MaySun1)=1,IF(AND(YEAR(MaySun1+25)=CalendarYear,MONTH(MaySun1+25)=5),MaySun1+25,""),IF(AND(YEAR(MaySun1+32)=CalendarYear,MONTH(MaySun1+32)=5),MaySun1+32,""))</f>
        <v>45806</v>
      </c>
      <c r="O18" s="10">
        <f>IF(DAY(MaySun1)=1,IF(AND(YEAR(MaySun1+26)=CalendarYear,MONTH(MaySun1+26)=5),MaySun1+26,""),IF(AND(YEAR(MaySun1+33)=CalendarYear,MONTH(MaySun1+33)=5),MaySun1+33,""))</f>
        <v>45807</v>
      </c>
      <c r="P18" s="10">
        <f>IF(DAY(MaySun1)=1,IF(AND(YEAR(MaySun1+27)=CalendarYear,MONTH(MaySun1+27)=5),MaySun1+27,""),IF(AND(YEAR(MaySun1+34)=CalendarYear,MONTH(MaySun1+34)=5),MaySun1+34,""))</f>
        <v>45808</v>
      </c>
      <c r="Q18" s="10" t="str">
        <f>IF(DAY(MaySun1)=1,IF(AND(YEAR(MaySun1+28)=CalendarYear,MONTH(MaySun1+28)=5),MaySun1+28,""),IF(AND(YEAR(MaySun1+35)=CalendarYear,MONTH(MaySun1+35)=5),MaySun1+35,""))</f>
        <v/>
      </c>
      <c r="R18" s="2"/>
      <c r="S18" s="10">
        <f>IF(DAY(JunSun1)=1,IF(AND(YEAR(JunSun1+22)=CalendarYear,MONTH(JunSun1+22)=6),JunSun1+22,""),IF(AND(YEAR(JunSun1+29)=CalendarYear,MONTH(JunSun1+29)=6),JunSun1+29,""))</f>
        <v>45831</v>
      </c>
      <c r="T18" s="10">
        <f>IF(DAY(JunSun1)=1,IF(AND(YEAR(JunSun1+23)=CalendarYear,MONTH(JunSun1+23)=6),JunSun1+23,""),IF(AND(YEAR(JunSun1+30)=CalendarYear,MONTH(JunSun1+30)=6),JunSun1+30,""))</f>
        <v>45832</v>
      </c>
      <c r="U18" s="10">
        <f>IF(DAY(JunSun1)=1,IF(AND(YEAR(JunSun1+24)=CalendarYear,MONTH(JunSun1+24)=6),JunSun1+24,""),IF(AND(YEAR(JunSun1+31)=CalendarYear,MONTH(JunSun1+31)=6),JunSun1+31,""))</f>
        <v>45833</v>
      </c>
      <c r="V18" s="10">
        <f>IF(DAY(JunSun1)=1,IF(AND(YEAR(JunSun1+25)=CalendarYear,MONTH(JunSun1+25)=6),JunSun1+25,""),IF(AND(YEAR(JunSun1+32)=CalendarYear,MONTH(JunSun1+32)=6),JunSun1+32,""))</f>
        <v>45834</v>
      </c>
      <c r="W18" s="10">
        <f>IF(DAY(JunSun1)=1,IF(AND(YEAR(JunSun1+26)=CalendarYear,MONTH(JunSun1+26)=6),JunSun1+26,""),IF(AND(YEAR(JunSun1+33)=CalendarYear,MONTH(JunSun1+33)=6),JunSun1+33,""))</f>
        <v>45835</v>
      </c>
      <c r="X18" s="10">
        <f>IF(DAY(JunSun1)=1,IF(AND(YEAR(JunSun1+27)=CalendarYear,MONTH(JunSun1+27)=6),JunSun1+27,""),IF(AND(YEAR(JunSun1+34)=CalendarYear,MONTH(JunSun1+34)=6),JunSun1+34,""))</f>
        <v>45836</v>
      </c>
      <c r="Y18" s="27">
        <f>IF(DAY(JunSun1)=1,IF(AND(YEAR(JunSun1+28)=CalendarYear,MONTH(JunSun1+28)=6),JunSun1+28,""),IF(AND(YEAR(JunSun1+35)=CalendarYear,MONTH(JunSun1+35)=6),JunSun1+35,""))</f>
        <v>45837</v>
      </c>
      <c r="AA18" s="89"/>
      <c r="AJ18" s="2"/>
    </row>
    <row r="19" spans="1:36" ht="15" customHeight="1" x14ac:dyDescent="0.2">
      <c r="B19" s="2"/>
      <c r="C19" s="17" t="str">
        <f>IF(DAY(AprSun1)=1,IF(AND(YEAR(AprSun1+29)=CalendarYear,MONTH(AprSun1+29)=4),AprSun1+29,""),IF(AND(YEAR(AprSun1+36)=CalendarYear,MONTH(AprSun1+36)=4),AprSun1+36,""))</f>
        <v/>
      </c>
      <c r="D19" s="10" t="str">
        <f>IF(DAY(AprSun1)=1,IF(AND(YEAR(AprSun1+30)=CalendarYear,MONTH(AprSun1+30)=4),AprSun1+30,""),IF(AND(YEAR(AprSun1+37)=CalendarYear,MONTH(AprSun1+37)=4),AprSun1+37,""))</f>
        <v/>
      </c>
      <c r="E19" s="10" t="str">
        <f>IF(DAY(AprSun1)=1,IF(AND(YEAR(AprSun1+31)=CalendarYear,MONTH(AprSun1+31)=4),AprSun1+31,""),IF(AND(YEAR(AprSun1+38)=CalendarYear,MONTH(AprSun1+38)=4),AprSun1+38,""))</f>
        <v/>
      </c>
      <c r="F19" s="10" t="str">
        <f>IF(DAY(AprSun1)=1,IF(AND(YEAR(AprSun1+32)=CalendarYear,MONTH(AprSun1+32)=4),AprSun1+32,""),IF(AND(YEAR(AprSun1+39)=CalendarYear,MONTH(AprSun1+39)=4),AprSun1+39,""))</f>
        <v/>
      </c>
      <c r="G19" s="10" t="str">
        <f>IF(DAY(AprSun1)=1,IF(AND(YEAR(AprSun1+33)=CalendarYear,MONTH(AprSun1+33)=4),AprSun1+33,""),IF(AND(YEAR(AprSun1+40)=CalendarYear,MONTH(AprSun1+40)=4),AprSun1+40,""))</f>
        <v/>
      </c>
      <c r="H19" s="10" t="str">
        <f>IF(DAY(AprSun1)=1,IF(AND(YEAR(AprSun1+34)=CalendarYear,MONTH(AprSun1+34)=4),AprSun1+34,""),IF(AND(YEAR(AprSun1+41)=CalendarYear,MONTH(AprSun1+41)=4),AprSun1+41,""))</f>
        <v/>
      </c>
      <c r="I19" s="10" t="str">
        <f>IF(DAY(AprSun1)=1,IF(AND(YEAR(AprSun1+35)=CalendarYear,MONTH(AprSun1+35)=4),AprSun1+35,""),IF(AND(YEAR(AprSun1+42)=CalendarYear,MONTH(AprSun1+42)=4),AprSun1+42,""))</f>
        <v/>
      </c>
      <c r="J19" s="10"/>
      <c r="K19" s="10" t="str">
        <f>IF(DAY(MaySun1)=1,IF(AND(YEAR(MaySun1+29)=CalendarYear,MONTH(MaySun1+29)=5),MaySun1+29,""),IF(AND(YEAR(MaySun1+36)=CalendarYear,MONTH(MaySun1+36)=5),MaySun1+36,""))</f>
        <v/>
      </c>
      <c r="L19" s="10" t="str">
        <f>IF(DAY(MaySun1)=1,IF(AND(YEAR(MaySun1+30)=CalendarYear,MONTH(MaySun1+30)=5),MaySun1+30,""),IF(AND(YEAR(MaySun1+37)=CalendarYear,MONTH(MaySun1+37)=5),MaySun1+37,""))</f>
        <v/>
      </c>
      <c r="M19" s="10" t="str">
        <f>IF(DAY(MaySun1)=1,IF(AND(YEAR(MaySun1+31)=CalendarYear,MONTH(MaySun1+31)=5),MaySun1+31,""),IF(AND(YEAR(MaySun1+38)=CalendarYear,MONTH(MaySun1+38)=5),MaySun1+38,""))</f>
        <v/>
      </c>
      <c r="N19" s="10" t="str">
        <f>IF(DAY(MaySun1)=1,IF(AND(YEAR(MaySun1+32)=CalendarYear,MONTH(MaySun1+32)=5),MaySun1+32,""),IF(AND(YEAR(MaySun1+39)=CalendarYear,MONTH(MaySun1+39)=5),MaySun1+39,""))</f>
        <v/>
      </c>
      <c r="O19" s="10" t="str">
        <f>IF(DAY(MaySun1)=1,IF(AND(YEAR(MaySun1+33)=CalendarYear,MONTH(MaySun1+33)=5),MaySun1+33,""),IF(AND(YEAR(MaySun1+40)=CalendarYear,MONTH(MaySun1+40)=5),MaySun1+40,""))</f>
        <v/>
      </c>
      <c r="P19" s="10" t="str">
        <f>IF(DAY(MaySun1)=1,IF(AND(YEAR(MaySun1+34)=CalendarYear,MONTH(MaySun1+34)=5),MaySun1+34,""),IF(AND(YEAR(MaySun1+41)=CalendarYear,MONTH(MaySun1+41)=5),MaySun1+41,""))</f>
        <v/>
      </c>
      <c r="Q19" s="10" t="str">
        <f>IF(DAY(MaySun1)=1,IF(AND(YEAR(MaySun1+35)=CalendarYear,MONTH(MaySun1+35)=5),MaySun1+35,""),IF(AND(YEAR(MaySun1+42)=CalendarYear,MONTH(MaySun1+42)=5),MaySun1+42,""))</f>
        <v/>
      </c>
      <c r="R19" s="2"/>
      <c r="S19" s="30">
        <f>IF(DAY(JunSun1)=1,IF(AND(YEAR(JunSun1+29)=CalendarYear,MONTH(JunSun1+29)=6),JunSun1+29,""),IF(AND(YEAR(JunSun1+36)=CalendarYear,MONTH(JunSun1+36)=6),JunSun1+36,""))</f>
        <v>45838</v>
      </c>
      <c r="T19" s="10" t="str">
        <f>IF(DAY(JunSun1)=1,IF(AND(YEAR(JunSun1+30)=CalendarYear,MONTH(JunSun1+30)=6),JunSun1+30,""),IF(AND(YEAR(JunSun1+37)=CalendarYear,MONTH(JunSun1+37)=6),JunSun1+37,""))</f>
        <v/>
      </c>
      <c r="U19" s="10" t="str">
        <f>IF(DAY(JunSun1)=1,IF(AND(YEAR(JunSun1+31)=CalendarYear,MONTH(JunSun1+31)=6),JunSun1+31,""),IF(AND(YEAR(JunSun1+38)=CalendarYear,MONTH(JunSun1+38)=6),JunSun1+38,""))</f>
        <v/>
      </c>
      <c r="V19" s="10" t="str">
        <f>IF(DAY(JunSun1)=1,IF(AND(YEAR(JunSun1+32)=CalendarYear,MONTH(JunSun1+32)=6),JunSun1+32,""),IF(AND(YEAR(JunSun1+39)=CalendarYear,MONTH(JunSun1+39)=6),JunSun1+39,""))</f>
        <v/>
      </c>
      <c r="W19" s="10" t="str">
        <f>IF(DAY(JunSun1)=1,IF(AND(YEAR(JunSun1+33)=CalendarYear,MONTH(JunSun1+33)=6),JunSun1+33,""),IF(AND(YEAR(JunSun1+40)=CalendarYear,MONTH(JunSun1+40)=6),JunSun1+40,""))</f>
        <v/>
      </c>
      <c r="X19" s="10" t="str">
        <f>IF(DAY(JunSun1)=1,IF(AND(YEAR(JunSun1+34)=CalendarYear,MONTH(JunSun1+34)=6),JunSun1+34,""),IF(AND(YEAR(JunSun1+41)=CalendarYear,MONTH(JunSun1+41)=6),JunSun1+41,""))</f>
        <v/>
      </c>
      <c r="Y19" s="27" t="str">
        <f>IF(DAY(JunSun1)=1,IF(AND(YEAR(JunSun1+35)=CalendarYear,MONTH(JunSun1+35)=6),JunSun1+35,""),IF(AND(YEAR(JunSun1+42)=CalendarYear,MONTH(JunSun1+42)=6),JunSun1+42,""))</f>
        <v/>
      </c>
      <c r="AA19" s="31" t="s">
        <v>32</v>
      </c>
      <c r="AB19" s="35"/>
      <c r="AJ19" s="2"/>
    </row>
    <row r="20" spans="1:36" ht="15" customHeight="1" x14ac:dyDescent="0.2">
      <c r="A20" s="6"/>
      <c r="B20" s="2"/>
      <c r="C20" s="75" t="s">
        <v>4</v>
      </c>
      <c r="D20" s="76"/>
      <c r="E20" s="76"/>
      <c r="F20" s="76"/>
      <c r="G20" s="76"/>
      <c r="H20" s="76"/>
      <c r="I20" s="76"/>
      <c r="J20" s="22"/>
      <c r="K20" s="76" t="s">
        <v>16</v>
      </c>
      <c r="L20" s="76"/>
      <c r="M20" s="76"/>
      <c r="N20" s="76"/>
      <c r="O20" s="76"/>
      <c r="P20" s="76"/>
      <c r="Q20" s="76"/>
      <c r="R20" s="2"/>
      <c r="S20" s="76" t="s">
        <v>5</v>
      </c>
      <c r="T20" s="76"/>
      <c r="U20" s="76"/>
      <c r="V20" s="76"/>
      <c r="W20" s="76"/>
      <c r="X20" s="76"/>
      <c r="Y20" s="77"/>
      <c r="AA20" s="85" t="s">
        <v>27</v>
      </c>
      <c r="AB20" s="85"/>
      <c r="AF20" s="9"/>
      <c r="AG20" s="9"/>
      <c r="AH20" s="9"/>
      <c r="AI20" s="9"/>
      <c r="AJ20" s="2"/>
    </row>
    <row r="21" spans="1:36" ht="15" customHeight="1" x14ac:dyDescent="0.2">
      <c r="A21" s="6"/>
      <c r="B21" s="2"/>
      <c r="C21" s="16" t="s">
        <v>1</v>
      </c>
      <c r="D21" s="4" t="s">
        <v>7</v>
      </c>
      <c r="E21" s="4" t="s">
        <v>8</v>
      </c>
      <c r="F21" s="4" t="s">
        <v>9</v>
      </c>
      <c r="G21" s="4" t="s">
        <v>10</v>
      </c>
      <c r="H21" s="4" t="s">
        <v>11</v>
      </c>
      <c r="I21" s="4" t="s">
        <v>12</v>
      </c>
      <c r="J21" s="9"/>
      <c r="K21" s="4" t="s">
        <v>1</v>
      </c>
      <c r="L21" s="4" t="s">
        <v>7</v>
      </c>
      <c r="M21" s="4" t="s">
        <v>8</v>
      </c>
      <c r="N21" s="4" t="s">
        <v>9</v>
      </c>
      <c r="O21" s="4" t="s">
        <v>10</v>
      </c>
      <c r="P21" s="4" t="s">
        <v>11</v>
      </c>
      <c r="Q21" s="4" t="s">
        <v>12</v>
      </c>
      <c r="R21" s="2"/>
      <c r="S21" s="4" t="s">
        <v>1</v>
      </c>
      <c r="T21" s="4" t="s">
        <v>7</v>
      </c>
      <c r="U21" s="4" t="s">
        <v>8</v>
      </c>
      <c r="V21" s="4" t="s">
        <v>9</v>
      </c>
      <c r="W21" s="4" t="s">
        <v>10</v>
      </c>
      <c r="X21" s="4" t="s">
        <v>11</v>
      </c>
      <c r="Y21" s="26" t="s">
        <v>12</v>
      </c>
      <c r="AA21" s="84"/>
      <c r="AB21" s="84"/>
      <c r="AE21" s="9"/>
      <c r="AJ21" s="2"/>
    </row>
    <row r="22" spans="1:36" ht="15" customHeight="1" x14ac:dyDescent="0.25">
      <c r="A22" s="6"/>
      <c r="B22" s="2"/>
      <c r="C22" s="17" t="str">
        <f>IF(DAY(JulSun1)=1,"",IF(AND(YEAR(JulSun1+1)=CalendarYear,MONTH(JulSun1+1)=7),JulSun1+1,""))</f>
        <v/>
      </c>
      <c r="D22" s="23">
        <f>IF(DAY(JulSun1)=1,"",IF(AND(YEAR(JulSun1+2)=CalendarYear,MONTH(JulSun1+2)=7),JulSun1+2,""))</f>
        <v>45839</v>
      </c>
      <c r="E22" s="10">
        <f>IF(DAY(JulSun1)=1,"",IF(AND(YEAR(JulSun1+3)=CalendarYear,MONTH(JulSun1+3)=7),JulSun1+3,""))</f>
        <v>45840</v>
      </c>
      <c r="F22" s="10">
        <f>IF(DAY(JulSun1)=1,"",IF(AND(YEAR(JulSun1+4)=CalendarYear,MONTH(JulSun1+4)=7),JulSun1+4,""))</f>
        <v>45841</v>
      </c>
      <c r="G22" s="13">
        <f>IF(DAY(AprSun1)=1,"",IF(AND(YEAR(AprSun1+5)=CalendarYear,MONTH(AprSun1+5)=4),AprSun1+5,""))</f>
        <v>45751</v>
      </c>
      <c r="H22" s="10">
        <f>IF(DAY(JulSun1)=1,"",IF(AND(YEAR(JulSun1+6)=CalendarYear,MONTH(JulSun1+6)=7),JulSun1+6,""))</f>
        <v>45843</v>
      </c>
      <c r="I22" s="10">
        <f>IF(DAY(JulSun1)=1,IF(AND(YEAR(JulSun1)=CalendarYear,MONTH(JulSun1)=7),JulSun1,""),IF(AND(YEAR(JulSun1+7)=CalendarYear,MONTH(JulSun1+7)=7),JulSun1+7,""))</f>
        <v>45844</v>
      </c>
      <c r="J22" s="3"/>
      <c r="K22" s="10" t="str">
        <f>IF(DAY(AugSun1)=1,"",IF(AND(YEAR(AugSun1+1)=CalendarYear,MONTH(AugSun1+1)=8),AugSun1+1,""))</f>
        <v/>
      </c>
      <c r="L22" s="10" t="str">
        <f>IF(DAY(AugSun1)=1,"",IF(AND(YEAR(AugSun1+2)=CalendarYear,MONTH(AugSun1+2)=8),AugSun1+2,""))</f>
        <v/>
      </c>
      <c r="M22" s="10" t="str">
        <f>IF(DAY(AugSun1)=1,"",IF(AND(YEAR(AugSun1+3)=CalendarYear,MONTH(AugSun1+3)=8),AugSun1+3,""))</f>
        <v/>
      </c>
      <c r="N22" s="10" t="str">
        <f>IF(DAY(AugSun1)=1,"",IF(AND(YEAR(AugSun1+4)=CalendarYear,MONTH(AugSun1+4)=8),AugSun1+4,""))</f>
        <v/>
      </c>
      <c r="O22" s="10">
        <f>IF(DAY(AugSun1)=1,"",IF(AND(YEAR(AugSun1+5)=CalendarYear,MONTH(AugSun1+5)=8),AugSun1+5,""))</f>
        <v>45870</v>
      </c>
      <c r="P22" s="10">
        <f>IF(DAY(AugSun1)=1,"",IF(AND(YEAR(AugSun1+6)=CalendarYear,MONTH(AugSun1+6)=8),AugSun1+6,""))</f>
        <v>45871</v>
      </c>
      <c r="Q22" s="10">
        <f>IF(DAY(AugSun1)=1,IF(AND(YEAR(AugSun1)=CalendarYear,MONTH(AugSun1)=8),AugSun1,""),IF(AND(YEAR(AugSun1+7)=CalendarYear,MONTH(AugSun1+7)=8),AugSun1+7,""))</f>
        <v>45872</v>
      </c>
      <c r="R22" s="2"/>
      <c r="S22" s="10">
        <f>IF(DAY(SepSun1)=1,"",IF(AND(YEAR(SepSun1+1)=CalendarYear,MONTH(SepSun1+1)=9),SepSun1+1,""))</f>
        <v>45901</v>
      </c>
      <c r="T22" s="10">
        <f>IF(DAY(SepSun1)=1,"",IF(AND(YEAR(SepSun1+2)=CalendarYear,MONTH(SepSun1+2)=9),SepSun1+2,""))</f>
        <v>45902</v>
      </c>
      <c r="U22" s="10">
        <f>IF(DAY(SepSun1)=1,"",IF(AND(YEAR(SepSun1+3)=CalendarYear,MONTH(SepSun1+3)=9),SepSun1+3,""))</f>
        <v>45903</v>
      </c>
      <c r="V22" s="10">
        <f>IF(DAY(SepSun1)=1,"",IF(AND(YEAR(SepSun1+4)=CalendarYear,MONTH(SepSun1+4)=9),SepSun1+4,""))</f>
        <v>45904</v>
      </c>
      <c r="W22" s="10">
        <f>IF(DAY(SepSun1)=1,"",IF(AND(YEAR(SepSun1+5)=CalendarYear,MONTH(SepSun1+5)=9),SepSun1+5,""))</f>
        <v>45905</v>
      </c>
      <c r="X22" s="10">
        <f>IF(DAY(SepSun1)=1,"",IF(AND(YEAR(SepSun1+6)=CalendarYear,MONTH(SepSun1+6)=9),SepSun1+6,""))</f>
        <v>45906</v>
      </c>
      <c r="Y22" s="27">
        <f>IF(DAY(SepSun1)=1,IF(AND(YEAR(SepSun1)=CalendarYear,MONTH(SepSun1)=9),SepSun1,""),IF(AND(YEAR(SepSun1+7)=CalendarYear,MONTH(SepSun1+7)=9),SepSun1+7,""))</f>
        <v>45907</v>
      </c>
      <c r="AA22" s="84"/>
      <c r="AB22" s="84"/>
      <c r="AJ22" s="2"/>
    </row>
    <row r="23" spans="1:36" ht="15" customHeight="1" x14ac:dyDescent="0.2">
      <c r="B23" s="2"/>
      <c r="C23" s="17">
        <f>IF(DAY(JulSun1)=1,IF(AND(YEAR(JulSun1+1)=CalendarYear,MONTH(JulSun1+1)=7),JulSun1+1,""),IF(AND(YEAR(JulSun1+8)=CalendarYear,MONTH(JulSun1+8)=7),JulSun1+8,""))</f>
        <v>45845</v>
      </c>
      <c r="D23" s="10">
        <f>IF(DAY(JulSun1)=1,IF(AND(YEAR(JulSun1+2)=CalendarYear,MONTH(JulSun1+2)=7),JulSun1+2,""),IF(AND(YEAR(JulSun1+9)=CalendarYear,MONTH(JulSun1+9)=7),JulSun1+9,""))</f>
        <v>45846</v>
      </c>
      <c r="E23" s="10">
        <f>IF(DAY(JulSun1)=1,IF(AND(YEAR(JulSun1+3)=CalendarYear,MONTH(JulSun1+3)=7),JulSun1+3,""),IF(AND(YEAR(JulSun1+10)=CalendarYear,MONTH(JulSun1+10)=7),JulSun1+10,""))</f>
        <v>45847</v>
      </c>
      <c r="F23" s="10">
        <f>IF(DAY(JulSun1)=1,IF(AND(YEAR(JulSun1+4)=CalendarYear,MONTH(JulSun1+4)=7),JulSun1+4,""),IF(AND(YEAR(JulSun1+11)=CalendarYear,MONTH(JulSun1+11)=7),JulSun1+11,""))</f>
        <v>45848</v>
      </c>
      <c r="G23" s="10">
        <f>IF(DAY(JulSun1)=1,IF(AND(YEAR(JulSun1+5)=CalendarYear,MONTH(JulSun1+5)=7),JulSun1+5,""),IF(AND(YEAR(JulSun1+12)=CalendarYear,MONTH(JulSun1+12)=7),JulSun1+12,""))</f>
        <v>45849</v>
      </c>
      <c r="H23" s="10">
        <f>IF(DAY(JulSun1)=1,IF(AND(YEAR(JulSun1+6)=CalendarYear,MONTH(JulSun1+6)=7),JulSun1+6,""),IF(AND(YEAR(JulSun1+13)=CalendarYear,MONTH(JulSun1+13)=7),JulSun1+13,""))</f>
        <v>45850</v>
      </c>
      <c r="I23" s="10">
        <f>IF(DAY(JulSun1)=1,IF(AND(YEAR(JulSun1+7)=CalendarYear,MONTH(JulSun1+7)=7),JulSun1+7,""),IF(AND(YEAR(JulSun1+14)=CalendarYear,MONTH(JulSun1+14)=7),JulSun1+14,""))</f>
        <v>45851</v>
      </c>
      <c r="J23" s="8"/>
      <c r="K23" s="10">
        <f>IF(DAY(AugSun1)=1,IF(AND(YEAR(AugSun1+1)=CalendarYear,MONTH(AugSun1+1)=8),AugSun1+1,""),IF(AND(YEAR(AugSun1+8)=CalendarYear,MONTH(AugSun1+8)=8),AugSun1+8,""))</f>
        <v>45873</v>
      </c>
      <c r="L23" s="10">
        <f>IF(DAY(AugSun1)=1,IF(AND(YEAR(AugSun1+2)=CalendarYear,MONTH(AugSun1+2)=8),AugSun1+2,""),IF(AND(YEAR(AugSun1+9)=CalendarYear,MONTH(AugSun1+9)=8),AugSun1+9,""))</f>
        <v>45874</v>
      </c>
      <c r="M23" s="10">
        <f>IF(DAY(AugSun1)=1,IF(AND(YEAR(AugSun1+3)=CalendarYear,MONTH(AugSun1+3)=8),AugSun1+3,""),IF(AND(YEAR(AugSun1+10)=CalendarYear,MONTH(AugSun1+10)=8),AugSun1+10,""))</f>
        <v>45875</v>
      </c>
      <c r="N23" s="10">
        <f>IF(DAY(AugSun1)=1,IF(AND(YEAR(AugSun1+4)=CalendarYear,MONTH(AugSun1+4)=8),AugSun1+4,""),IF(AND(YEAR(AugSun1+11)=CalendarYear,MONTH(AugSun1+11)=8),AugSun1+11,""))</f>
        <v>45876</v>
      </c>
      <c r="O23" s="10">
        <f>IF(DAY(AugSun1)=1,IF(AND(YEAR(AugSun1+5)=CalendarYear,MONTH(AugSun1+5)=8),AugSun1+5,""),IF(AND(YEAR(AugSun1+12)=CalendarYear,MONTH(AugSun1+12)=8),AugSun1+12,""))</f>
        <v>45877</v>
      </c>
      <c r="P23" s="10">
        <f>IF(DAY(AugSun1)=1,IF(AND(YEAR(AugSun1+6)=CalendarYear,MONTH(AugSun1+6)=8),AugSun1+6,""),IF(AND(YEAR(AugSun1+13)=CalendarYear,MONTH(AugSun1+13)=8),AugSun1+13,""))</f>
        <v>45878</v>
      </c>
      <c r="Q23" s="10">
        <f>IF(DAY(AugSun1)=1,IF(AND(YEAR(AugSun1+7)=CalendarYear,MONTH(AugSun1+7)=8),AugSun1+7,""),IF(AND(YEAR(AugSun1+14)=CalendarYear,MONTH(AugSun1+14)=8),AugSun1+14,""))</f>
        <v>45879</v>
      </c>
      <c r="R23" s="2"/>
      <c r="S23" s="10">
        <f>IF(DAY(SepSun1)=1,IF(AND(YEAR(SepSun1+1)=CalendarYear,MONTH(SepSun1+1)=9),SepSun1+1,""),IF(AND(YEAR(SepSun1+8)=CalendarYear,MONTH(SepSun1+8)=9),SepSun1+8,""))</f>
        <v>45908</v>
      </c>
      <c r="T23" s="10">
        <f>IF(DAY(SepSun1)=1,IF(AND(YEAR(SepSun1+2)=CalendarYear,MONTH(SepSun1+2)=9),SepSun1+2,""),IF(AND(YEAR(SepSun1+9)=CalendarYear,MONTH(SepSun1+9)=9),SepSun1+9,""))</f>
        <v>45909</v>
      </c>
      <c r="U23" s="10">
        <f>IF(DAY(SepSun1)=1,IF(AND(YEAR(SepSun1+3)=CalendarYear,MONTH(SepSun1+3)=9),SepSun1+3,""),IF(AND(YEAR(SepSun1+10)=CalendarYear,MONTH(SepSun1+10)=9),SepSun1+10,""))</f>
        <v>45910</v>
      </c>
      <c r="V23" s="10">
        <f>IF(DAY(SepSun1)=1,IF(AND(YEAR(SepSun1+4)=CalendarYear,MONTH(SepSun1+4)=9),SepSun1+4,""),IF(AND(YEAR(SepSun1+11)=CalendarYear,MONTH(SepSun1+11)=9),SepSun1+11,""))</f>
        <v>45911</v>
      </c>
      <c r="W23" s="10">
        <f>IF(DAY(SepSun1)=1,IF(AND(YEAR(SepSun1+5)=CalendarYear,MONTH(SepSun1+5)=9),SepSun1+5,""),IF(AND(YEAR(SepSun1+12)=CalendarYear,MONTH(SepSun1+12)=9),SepSun1+12,""))</f>
        <v>45912</v>
      </c>
      <c r="X23" s="10">
        <f>IF(DAY(SepSun1)=1,IF(AND(YEAR(SepSun1+6)=CalendarYear,MONTH(SepSun1+6)=9),SepSun1+6,""),IF(AND(YEAR(SepSun1+13)=CalendarYear,MONTH(SepSun1+13)=9),SepSun1+13,""))</f>
        <v>45913</v>
      </c>
      <c r="Y23" s="27">
        <f>IF(DAY(SepSun1)=1,IF(AND(YEAR(SepSun1+7)=CalendarYear,MONTH(SepSun1+7)=9),SepSun1+7,""),IF(AND(YEAR(SepSun1+14)=CalendarYear,MONTH(SepSun1+14)=9),SepSun1+14,""))</f>
        <v>45914</v>
      </c>
      <c r="AA23" s="84"/>
      <c r="AB23" s="84"/>
      <c r="AJ23" s="2"/>
    </row>
    <row r="24" spans="1:36" ht="15" customHeight="1" x14ac:dyDescent="0.2">
      <c r="B24" s="2"/>
      <c r="C24" s="17">
        <f>IF(DAY(JulSun1)=1,IF(AND(YEAR(JulSun1+8)=CalendarYear,MONTH(JulSun1+8)=7),JulSun1+8,""),IF(AND(YEAR(JulSun1+15)=CalendarYear,MONTH(JulSun1+15)=7),JulSun1+15,""))</f>
        <v>45852</v>
      </c>
      <c r="D24" s="10">
        <f>IF(DAY(JulSun1)=1,IF(AND(YEAR(JulSun1+9)=CalendarYear,MONTH(JulSun1+9)=7),JulSun1+9,""),IF(AND(YEAR(JulSun1+16)=CalendarYear,MONTH(JulSun1+16)=7),JulSun1+16,""))</f>
        <v>45853</v>
      </c>
      <c r="E24" s="10">
        <f>IF(DAY(JulSun1)=1,IF(AND(YEAR(JulSun1+10)=CalendarYear,MONTH(JulSun1+10)=7),JulSun1+10,""),IF(AND(YEAR(JulSun1+17)=CalendarYear,MONTH(JulSun1+17)=7),JulSun1+17,""))</f>
        <v>45854</v>
      </c>
      <c r="F24" s="10">
        <f>IF(DAY(JulSun1)=1,IF(AND(YEAR(JulSun1+11)=CalendarYear,MONTH(JulSun1+11)=7),JulSun1+11,""),IF(AND(YEAR(JulSun1+18)=CalendarYear,MONTH(JulSun1+18)=7),JulSun1+18,""))</f>
        <v>45855</v>
      </c>
      <c r="G24" s="10">
        <f>IF(DAY(JulSun1)=1,IF(AND(YEAR(JulSun1+12)=CalendarYear,MONTH(JulSun1+12)=7),JulSun1+12,""),IF(AND(YEAR(JulSun1+19)=CalendarYear,MONTH(JulSun1+19)=7),JulSun1+19,""))</f>
        <v>45856</v>
      </c>
      <c r="H24" s="10">
        <f>IF(DAY(JulSun1)=1,IF(AND(YEAR(JulSun1+13)=CalendarYear,MONTH(JulSun1+13)=7),JulSun1+13,""),IF(AND(YEAR(JulSun1+20)=CalendarYear,MONTH(JulSun1+20)=7),JulSun1+20,""))</f>
        <v>45857</v>
      </c>
      <c r="I24" s="10">
        <f>IF(DAY(JulSun1)=1,IF(AND(YEAR(JulSun1+14)=CalendarYear,MONTH(JulSun1+14)=7),JulSun1+14,""),IF(AND(YEAR(JulSun1+21)=CalendarYear,MONTH(JulSun1+21)=7),JulSun1+21,""))</f>
        <v>45858</v>
      </c>
      <c r="J24" s="10"/>
      <c r="K24" s="10">
        <f>IF(DAY(AugSun1)=1,IF(AND(YEAR(AugSun1+8)=CalendarYear,MONTH(AugSun1+8)=8),AugSun1+8,""),IF(AND(YEAR(AugSun1+15)=CalendarYear,MONTH(AugSun1+15)=8),AugSun1+15,""))</f>
        <v>45880</v>
      </c>
      <c r="L24" s="10">
        <f>IF(DAY(AugSun1)=1,IF(AND(YEAR(AugSun1+9)=CalendarYear,MONTH(AugSun1+9)=8),AugSun1+9,""),IF(AND(YEAR(AugSun1+16)=CalendarYear,MONTH(AugSun1+16)=8),AugSun1+16,""))</f>
        <v>45881</v>
      </c>
      <c r="M24" s="10">
        <f>IF(DAY(AugSun1)=1,IF(AND(YEAR(AugSun1+10)=CalendarYear,MONTH(AugSun1+10)=8),AugSun1+10,""),IF(AND(YEAR(AugSun1+17)=CalendarYear,MONTH(AugSun1+17)=8),AugSun1+17,""))</f>
        <v>45882</v>
      </c>
      <c r="N24" s="10">
        <f>IF(DAY(AugSun1)=1,IF(AND(YEAR(AugSun1+11)=CalendarYear,MONTH(AugSun1+11)=8),AugSun1+11,""),IF(AND(YEAR(AugSun1+18)=CalendarYear,MONTH(AugSun1+18)=8),AugSun1+18,""))</f>
        <v>45883</v>
      </c>
      <c r="O24" s="10">
        <f>IF(DAY(AugSun1)=1,IF(AND(YEAR(AugSun1+12)=CalendarYear,MONTH(AugSun1+12)=8),AugSun1+12,""),IF(AND(YEAR(AugSun1+19)=CalendarYear,MONTH(AugSun1+19)=8),AugSun1+19,""))</f>
        <v>45884</v>
      </c>
      <c r="P24" s="10">
        <f>IF(DAY(AugSun1)=1,IF(AND(YEAR(AugSun1+13)=CalendarYear,MONTH(AugSun1+13)=8),AugSun1+13,""),IF(AND(YEAR(AugSun1+20)=CalendarYear,MONTH(AugSun1+20)=8),AugSun1+20,""))</f>
        <v>45885</v>
      </c>
      <c r="Q24" s="10">
        <f>IF(DAY(AugSun1)=1,IF(AND(YEAR(AugSun1+14)=CalendarYear,MONTH(AugSun1+14)=8),AugSun1+14,""),IF(AND(YEAR(AugSun1+21)=CalendarYear,MONTH(AugSun1+21)=8),AugSun1+21,""))</f>
        <v>45886</v>
      </c>
      <c r="R24" s="2"/>
      <c r="S24" s="10">
        <f>IF(DAY(SepSun1)=1,IF(AND(YEAR(SepSun1+8)=CalendarYear,MONTH(SepSun1+8)=9),SepSun1+8,""),IF(AND(YEAR(SepSun1+15)=CalendarYear,MONTH(SepSun1+15)=9),SepSun1+15,""))</f>
        <v>45915</v>
      </c>
      <c r="T24" s="10">
        <f>IF(DAY(SepSun1)=1,IF(AND(YEAR(SepSun1+9)=CalendarYear,MONTH(SepSun1+9)=9),SepSun1+9,""),IF(AND(YEAR(SepSun1+16)=CalendarYear,MONTH(SepSun1+16)=9),SepSun1+16,""))</f>
        <v>45916</v>
      </c>
      <c r="U24" s="10">
        <f>IF(DAY(SepSun1)=1,IF(AND(YEAR(SepSun1+10)=CalendarYear,MONTH(SepSun1+10)=9),SepSun1+10,""),IF(AND(YEAR(SepSun1+17)=CalendarYear,MONTH(SepSun1+17)=9),SepSun1+17,""))</f>
        <v>45917</v>
      </c>
      <c r="V24" s="10">
        <f>IF(DAY(SepSun1)=1,IF(AND(YEAR(SepSun1+11)=CalendarYear,MONTH(SepSun1+11)=9),SepSun1+11,""),IF(AND(YEAR(SepSun1+18)=CalendarYear,MONTH(SepSun1+18)=9),SepSun1+18,""))</f>
        <v>45918</v>
      </c>
      <c r="W24" s="10">
        <f>IF(DAY(SepSun1)=1,IF(AND(YEAR(SepSun1+12)=CalendarYear,MONTH(SepSun1+12)=9),SepSun1+12,""),IF(AND(YEAR(SepSun1+19)=CalendarYear,MONTH(SepSun1+19)=9),SepSun1+19,""))</f>
        <v>45919</v>
      </c>
      <c r="X24" s="10">
        <f>IF(DAY(SepSun1)=1,IF(AND(YEAR(SepSun1+13)=CalendarYear,MONTH(SepSun1+13)=9),SepSun1+13,""),IF(AND(YEAR(SepSun1+20)=CalendarYear,MONTH(SepSun1+20)=9),SepSun1+20,""))</f>
        <v>45920</v>
      </c>
      <c r="Y24" s="27">
        <f>IF(DAY(SepSun1)=1,IF(AND(YEAR(SepSun1+14)=CalendarYear,MONTH(SepSun1+14)=9),SepSun1+14,""),IF(AND(YEAR(SepSun1+21)=CalendarYear,MONTH(SepSun1+21)=9),SepSun1+21,""))</f>
        <v>45921</v>
      </c>
      <c r="AA24" s="84"/>
      <c r="AB24" s="84"/>
      <c r="AJ24" s="2"/>
    </row>
    <row r="25" spans="1:36" ht="15" customHeight="1" x14ac:dyDescent="0.2">
      <c r="B25" s="2"/>
      <c r="C25" s="17">
        <f>IF(DAY(JulSun1)=1,IF(AND(YEAR(JulSun1+15)=CalendarYear,MONTH(JulSun1+15)=7),JulSun1+15,""),IF(AND(YEAR(JulSun1+22)=CalendarYear,MONTH(JulSun1+22)=7),JulSun1+22,""))</f>
        <v>45859</v>
      </c>
      <c r="D25" s="10">
        <f>IF(DAY(JulSun1)=1,IF(AND(YEAR(JulSun1+16)=CalendarYear,MONTH(JulSun1+16)=7),JulSun1+16,""),IF(AND(YEAR(JulSun1+23)=CalendarYear,MONTH(JulSun1+23)=7),JulSun1+23,""))</f>
        <v>45860</v>
      </c>
      <c r="E25" s="10">
        <f>IF(DAY(JulSun1)=1,IF(AND(YEAR(JulSun1+17)=CalendarYear,MONTH(JulSun1+17)=7),JulSun1+17,""),IF(AND(YEAR(JulSun1+24)=CalendarYear,MONTH(JulSun1+24)=7),JulSun1+24,""))</f>
        <v>45861</v>
      </c>
      <c r="F25" s="10">
        <f>IF(DAY(JulSun1)=1,IF(AND(YEAR(JulSun1+18)=CalendarYear,MONTH(JulSun1+18)=7),JulSun1+18,""),IF(AND(YEAR(JulSun1+25)=CalendarYear,MONTH(JulSun1+25)=7),JulSun1+25,""))</f>
        <v>45862</v>
      </c>
      <c r="G25" s="10">
        <f>IF(DAY(JulSun1)=1,IF(AND(YEAR(JulSun1+19)=CalendarYear,MONTH(JulSun1+19)=7),JulSun1+19,""),IF(AND(YEAR(JulSun1+26)=CalendarYear,MONTH(JulSun1+26)=7),JulSun1+26,""))</f>
        <v>45863</v>
      </c>
      <c r="H25" s="10">
        <f>IF(DAY(JulSun1)=1,IF(AND(YEAR(JulSun1+20)=CalendarYear,MONTH(JulSun1+20)=7),JulSun1+20,""),IF(AND(YEAR(JulSun1+27)=CalendarYear,MONTH(JulSun1+27)=7),JulSun1+27,""))</f>
        <v>45864</v>
      </c>
      <c r="I25" s="10">
        <f>IF(DAY(JulSun1)=1,IF(AND(YEAR(JulSun1+21)=CalendarYear,MONTH(JulSun1+21)=7),JulSun1+21,""),IF(AND(YEAR(JulSun1+28)=CalendarYear,MONTH(JulSun1+28)=7),JulSun1+28,""))</f>
        <v>45865</v>
      </c>
      <c r="J25" s="10"/>
      <c r="K25" s="10">
        <f>IF(DAY(AugSun1)=1,IF(AND(YEAR(AugSun1+15)=CalendarYear,MONTH(AugSun1+15)=8),AugSun1+15,""),IF(AND(YEAR(AugSun1+22)=CalendarYear,MONTH(AugSun1+22)=8),AugSun1+22,""))</f>
        <v>45887</v>
      </c>
      <c r="L25" s="10">
        <f>IF(DAY(AugSun1)=1,IF(AND(YEAR(AugSun1+16)=CalendarYear,MONTH(AugSun1+16)=8),AugSun1+16,""),IF(AND(YEAR(AugSun1+23)=CalendarYear,MONTH(AugSun1+23)=8),AugSun1+23,""))</f>
        <v>45888</v>
      </c>
      <c r="M25" s="10">
        <f>IF(DAY(AugSun1)=1,IF(AND(YEAR(AugSun1+17)=CalendarYear,MONTH(AugSun1+17)=8),AugSun1+17,""),IF(AND(YEAR(AugSun1+24)=CalendarYear,MONTH(AugSun1+24)=8),AugSun1+24,""))</f>
        <v>45889</v>
      </c>
      <c r="N25" s="10">
        <f>IF(DAY(AugSun1)=1,IF(AND(YEAR(AugSun1+18)=CalendarYear,MONTH(AugSun1+18)=8),AugSun1+18,""),IF(AND(YEAR(AugSun1+25)=CalendarYear,MONTH(AugSun1+25)=8),AugSun1+25,""))</f>
        <v>45890</v>
      </c>
      <c r="O25" s="10">
        <f>IF(DAY(AugSun1)=1,IF(AND(YEAR(AugSun1+19)=CalendarYear,MONTH(AugSun1+19)=8),AugSun1+19,""),IF(AND(YEAR(AugSun1+26)=CalendarYear,MONTH(AugSun1+26)=8),AugSun1+26,""))</f>
        <v>45891</v>
      </c>
      <c r="P25" s="10">
        <f>IF(DAY(AugSun1)=1,IF(AND(YEAR(AugSun1+20)=CalendarYear,MONTH(AugSun1+20)=8),AugSun1+20,""),IF(AND(YEAR(AugSun1+27)=CalendarYear,MONTH(AugSun1+27)=8),AugSun1+27,""))</f>
        <v>45892</v>
      </c>
      <c r="Q25" s="10">
        <f>IF(DAY(AugSun1)=1,IF(AND(YEAR(AugSun1+21)=CalendarYear,MONTH(AugSun1+21)=8),AugSun1+21,""),IF(AND(YEAR(AugSun1+28)=CalendarYear,MONTH(AugSun1+28)=8),AugSun1+28,""))</f>
        <v>45893</v>
      </c>
      <c r="R25" s="2"/>
      <c r="S25" s="10">
        <f>IF(DAY(SepSun1)=1,IF(AND(YEAR(SepSun1+15)=CalendarYear,MONTH(SepSun1+15)=9),SepSun1+15,""),IF(AND(YEAR(SepSun1+22)=CalendarYear,MONTH(SepSun1+22)=9),SepSun1+22,""))</f>
        <v>45922</v>
      </c>
      <c r="T25" s="10">
        <f>IF(DAY(SepSun1)=1,IF(AND(YEAR(SepSun1+16)=CalendarYear,MONTH(SepSun1+16)=9),SepSun1+16,""),IF(AND(YEAR(SepSun1+23)=CalendarYear,MONTH(SepSun1+23)=9),SepSun1+23,""))</f>
        <v>45923</v>
      </c>
      <c r="U25" s="10">
        <f>IF(DAY(SepSun1)=1,IF(AND(YEAR(SepSun1+17)=CalendarYear,MONTH(SepSun1+17)=9),SepSun1+17,""),IF(AND(YEAR(SepSun1+24)=CalendarYear,MONTH(SepSun1+24)=9),SepSun1+24,""))</f>
        <v>45924</v>
      </c>
      <c r="V25" s="10">
        <f>IF(DAY(SepSun1)=1,IF(AND(YEAR(SepSun1+18)=CalendarYear,MONTH(SepSun1+18)=9),SepSun1+18,""),IF(AND(YEAR(SepSun1+25)=CalendarYear,MONTH(SepSun1+25)=9),SepSun1+25,""))</f>
        <v>45925</v>
      </c>
      <c r="W25" s="10">
        <f>IF(DAY(SepSun1)=1,IF(AND(YEAR(SepSun1+19)=CalendarYear,MONTH(SepSun1+19)=9),SepSun1+19,""),IF(AND(YEAR(SepSun1+26)=CalendarYear,MONTH(SepSun1+26)=9),SepSun1+26,""))</f>
        <v>45926</v>
      </c>
      <c r="X25" s="10">
        <f>IF(DAY(SepSun1)=1,IF(AND(YEAR(SepSun1+20)=CalendarYear,MONTH(SepSun1+20)=9),SepSun1+20,""),IF(AND(YEAR(SepSun1+27)=CalendarYear,MONTH(SepSun1+27)=9),SepSun1+27,""))</f>
        <v>45927</v>
      </c>
      <c r="Y25" s="27">
        <f>IF(DAY(SepSun1)=1,IF(AND(YEAR(SepSun1+21)=CalendarYear,MONTH(SepSun1+21)=9),SepSun1+21,""),IF(AND(YEAR(SepSun1+28)=CalendarYear,MONTH(SepSun1+28)=9),SepSun1+28,""))</f>
        <v>45928</v>
      </c>
      <c r="AA25" s="84"/>
      <c r="AB25" s="84"/>
      <c r="AJ25" s="2"/>
    </row>
    <row r="26" spans="1:36" ht="15" customHeight="1" x14ac:dyDescent="0.2">
      <c r="B26" s="2"/>
      <c r="C26" s="17">
        <f>IF(DAY(JulSun1)=1,IF(AND(YEAR(JulSun1+22)=CalendarYear,MONTH(JulSun1+22)=7),JulSun1+22,""),IF(AND(YEAR(JulSun1+29)=CalendarYear,MONTH(JulSun1+29)=7),JulSun1+29,""))</f>
        <v>45866</v>
      </c>
      <c r="D26" s="10">
        <f>IF(DAY(JulSun1)=1,IF(AND(YEAR(JulSun1+23)=CalendarYear,MONTH(JulSun1+23)=7),JulSun1+23,""),IF(AND(YEAR(JulSun1+30)=CalendarYear,MONTH(JulSun1+30)=7),JulSun1+30,""))</f>
        <v>45867</v>
      </c>
      <c r="E26" s="10">
        <f>IF(DAY(JulSun1)=1,IF(AND(YEAR(JulSun1+24)=CalendarYear,MONTH(JulSun1+24)=7),JulSun1+24,""),IF(AND(YEAR(JulSun1+31)=CalendarYear,MONTH(JulSun1+31)=7),JulSun1+31,""))</f>
        <v>45868</v>
      </c>
      <c r="F26" s="10">
        <f>IF(DAY(JulSun1)=1,IF(AND(YEAR(JulSun1+25)=CalendarYear,MONTH(JulSun1+25)=7),JulSun1+25,""),IF(AND(YEAR(JulSun1+32)=CalendarYear,MONTH(JulSun1+32)=7),JulSun1+32,""))</f>
        <v>45869</v>
      </c>
      <c r="G26" s="10" t="str">
        <f>IF(DAY(JulSun1)=1,IF(AND(YEAR(JulSun1+26)=CalendarYear,MONTH(JulSun1+26)=7),JulSun1+26,""),IF(AND(YEAR(JulSun1+33)=CalendarYear,MONTH(JulSun1+33)=7),JulSun1+33,""))</f>
        <v/>
      </c>
      <c r="H26" s="10" t="str">
        <f>IF(DAY(JulSun1)=1,IF(AND(YEAR(JulSun1+27)=CalendarYear,MONTH(JulSun1+27)=7),JulSun1+27,""),IF(AND(YEAR(JulSun1+34)=CalendarYear,MONTH(JulSun1+34)=7),JulSun1+34,""))</f>
        <v/>
      </c>
      <c r="I26" s="10" t="str">
        <f>IF(DAY(JulSun1)=1,IF(AND(YEAR(JulSun1+28)=CalendarYear,MONTH(JulSun1+28)=7),JulSun1+28,""),IF(AND(YEAR(JulSun1+35)=CalendarYear,MONTH(JulSun1+35)=7),JulSun1+35,""))</f>
        <v/>
      </c>
      <c r="J26" s="10"/>
      <c r="K26" s="10">
        <f>IF(DAY(AugSun1)=1,IF(AND(YEAR(AugSun1+22)=CalendarYear,MONTH(AugSun1+22)=8),AugSun1+22,""),IF(AND(YEAR(AugSun1+29)=CalendarYear,MONTH(AugSun1+29)=8),AugSun1+29,""))</f>
        <v>45894</v>
      </c>
      <c r="L26" s="10">
        <f>IF(DAY(AugSun1)=1,IF(AND(YEAR(AugSun1+23)=CalendarYear,MONTH(AugSun1+23)=8),AugSun1+23,""),IF(AND(YEAR(AugSun1+30)=CalendarYear,MONTH(AugSun1+30)=8),AugSun1+30,""))</f>
        <v>45895</v>
      </c>
      <c r="M26" s="10">
        <f>IF(DAY(AugSun1)=1,IF(AND(YEAR(AugSun1+24)=CalendarYear,MONTH(AugSun1+24)=8),AugSun1+24,""),IF(AND(YEAR(AugSun1+31)=CalendarYear,MONTH(AugSun1+31)=8),AugSun1+31,""))</f>
        <v>45896</v>
      </c>
      <c r="N26" s="10">
        <f>IF(DAY(AugSun1)=1,IF(AND(YEAR(AugSun1+25)=CalendarYear,MONTH(AugSun1+25)=8),AugSun1+25,""),IF(AND(YEAR(AugSun1+32)=CalendarYear,MONTH(AugSun1+32)=8),AugSun1+32,""))</f>
        <v>45897</v>
      </c>
      <c r="O26" s="10">
        <f>IF(DAY(AugSun1)=1,IF(AND(YEAR(AugSun1+26)=CalendarYear,MONTH(AugSun1+26)=8),AugSun1+26,""),IF(AND(YEAR(AugSun1+33)=CalendarYear,MONTH(AugSun1+33)=8),AugSun1+33,""))</f>
        <v>45898</v>
      </c>
      <c r="P26" s="10">
        <f>IF(DAY(AugSun1)=1,IF(AND(YEAR(AugSun1+27)=CalendarYear,MONTH(AugSun1+27)=8),AugSun1+27,""),IF(AND(YEAR(AugSun1+34)=CalendarYear,MONTH(AugSun1+34)=8),AugSun1+34,""))</f>
        <v>45899</v>
      </c>
      <c r="Q26" s="10">
        <f>IF(DAY(AugSun1)=1,IF(AND(YEAR(AugSun1+28)=CalendarYear,MONTH(AugSun1+28)=8),AugSun1+28,""),IF(AND(YEAR(AugSun1+35)=CalendarYear,MONTH(AugSun1+35)=8),AugSun1+35,""))</f>
        <v>45900</v>
      </c>
      <c r="R26" s="2"/>
      <c r="S26" s="10">
        <f>IF(DAY(SepSun1)=1,IF(AND(YEAR(SepSun1+22)=CalendarYear,MONTH(SepSun1+22)=9),SepSun1+22,""),IF(AND(YEAR(SepSun1+29)=CalendarYear,MONTH(SepSun1+29)=9),SepSun1+29,""))</f>
        <v>45929</v>
      </c>
      <c r="T26" s="30">
        <f>IF(DAY(SepSun1)=1,IF(AND(YEAR(SepSun1+23)=CalendarYear,MONTH(SepSun1+23)=9),SepSun1+23,""),IF(AND(YEAR(SepSun1+30)=CalendarYear,MONTH(SepSun1+30)=9),SepSun1+30,""))</f>
        <v>45930</v>
      </c>
      <c r="U26" s="10" t="str">
        <f>IF(DAY(SepSun1)=1,IF(AND(YEAR(SepSun1+24)=CalendarYear,MONTH(SepSun1+24)=9),SepSun1+24,""),IF(AND(YEAR(SepSun1+31)=CalendarYear,MONTH(SepSun1+31)=9),SepSun1+31,""))</f>
        <v/>
      </c>
      <c r="V26" s="10" t="str">
        <f>IF(DAY(SepSun1)=1,IF(AND(YEAR(SepSun1+25)=CalendarYear,MONTH(SepSun1+25)=9),SepSun1+25,""),IF(AND(YEAR(SepSun1+32)=CalendarYear,MONTH(SepSun1+32)=9),SepSun1+32,""))</f>
        <v/>
      </c>
      <c r="W26" s="10" t="str">
        <f>IF(DAY(SepSun1)=1,IF(AND(YEAR(SepSun1+26)=CalendarYear,MONTH(SepSun1+26)=9),SepSun1+26,""),IF(AND(YEAR(SepSun1+33)=CalendarYear,MONTH(SepSun1+33)=9),SepSun1+33,""))</f>
        <v/>
      </c>
      <c r="X26" s="10" t="str">
        <f>IF(DAY(SepSun1)=1,IF(AND(YEAR(SepSun1+27)=CalendarYear,MONTH(SepSun1+27)=9),SepSun1+27,""),IF(AND(YEAR(SepSun1+34)=CalendarYear,MONTH(SepSun1+34)=9),SepSun1+34,""))</f>
        <v/>
      </c>
      <c r="Y26" s="27" t="str">
        <f>IF(DAY(SepSun1)=1,IF(AND(YEAR(SepSun1+28)=CalendarYear,MONTH(SepSun1+28)=9),SepSun1+28,""),IF(AND(YEAR(SepSun1+35)=CalendarYear,MONTH(SepSun1+35)=9),SepSun1+35,""))</f>
        <v/>
      </c>
      <c r="AA26" s="84"/>
      <c r="AB26" s="84"/>
      <c r="AJ26" s="2"/>
    </row>
    <row r="27" spans="1:36" ht="15" customHeight="1" x14ac:dyDescent="0.2">
      <c r="B27" s="2"/>
      <c r="C27" s="17" t="str">
        <f>IF(DAY(JulSun1)=1,IF(AND(YEAR(JulSun1+29)=CalendarYear,MONTH(JulSun1+29)=7),JulSun1+29,""),IF(AND(YEAR(JulSun1+36)=CalendarYear,MONTH(JulSun1+36)=7),JulSun1+36,""))</f>
        <v/>
      </c>
      <c r="D27" s="10" t="str">
        <f>IF(DAY(JulSun1)=1,IF(AND(YEAR(JulSun1+30)=CalendarYear,MONTH(JulSun1+30)=7),JulSun1+30,""),IF(AND(YEAR(JulSun1+37)=CalendarYear,MONTH(JulSun1+37)=7),JulSun1+37,""))</f>
        <v/>
      </c>
      <c r="E27" s="10" t="str">
        <f>IF(DAY(JulSun1)=1,IF(AND(YEAR(JulSun1+31)=CalendarYear,MONTH(JulSun1+31)=7),JulSun1+31,""),IF(AND(YEAR(JulSun1+38)=CalendarYear,MONTH(JulSun1+38)=7),JulSun1+38,""))</f>
        <v/>
      </c>
      <c r="F27" s="10" t="str">
        <f>IF(DAY(JulSun1)=1,IF(AND(YEAR(JulSun1+32)=CalendarYear,MONTH(JulSun1+32)=7),JulSun1+32,""),IF(AND(YEAR(JulSun1+39)=CalendarYear,MONTH(JulSun1+39)=7),JulSun1+39,""))</f>
        <v/>
      </c>
      <c r="G27" s="10" t="str">
        <f>IF(DAY(JulSun1)=1,IF(AND(YEAR(JulSun1+33)=CalendarYear,MONTH(JulSun1+33)=7),JulSun1+33,""),IF(AND(YEAR(JulSun1+40)=CalendarYear,MONTH(JulSun1+40)=7),JulSun1+40,""))</f>
        <v/>
      </c>
      <c r="H27" s="10" t="str">
        <f>IF(DAY(JulSun1)=1,IF(AND(YEAR(JulSun1+34)=CalendarYear,MONTH(JulSun1+34)=7),JulSun1+34,""),IF(AND(YEAR(JulSun1+41)=CalendarYear,MONTH(JulSun1+41)=7),JulSun1+41,""))</f>
        <v/>
      </c>
      <c r="I27" s="10" t="str">
        <f>IF(DAY(JulSun1)=1,IF(AND(YEAR(JulSun1+35)=CalendarYear,MONTH(JulSun1+35)=7),JulSun1+35,""),IF(AND(YEAR(JulSun1+42)=CalendarYear,MONTH(JulSun1+42)=7),JulSun1+42,""))</f>
        <v/>
      </c>
      <c r="J27" s="10"/>
      <c r="K27" s="10" t="str">
        <f>IF(DAY(AugSun1)=1,IF(AND(YEAR(AugSun1+29)=CalendarYear,MONTH(AugSun1+29)=8),AugSun1+29,""),IF(AND(YEAR(AugSun1+36)=CalendarYear,MONTH(AugSun1+36)=8),AugSun1+36,""))</f>
        <v/>
      </c>
      <c r="L27" s="10" t="str">
        <f>IF(DAY(AugSun1)=1,IF(AND(YEAR(AugSun1+30)=CalendarYear,MONTH(AugSun1+30)=8),AugSun1+30,""),IF(AND(YEAR(AugSun1+37)=CalendarYear,MONTH(AugSun1+37)=8),AugSun1+37,""))</f>
        <v/>
      </c>
      <c r="M27" s="10" t="str">
        <f>IF(DAY(AugSun1)=1,IF(AND(YEAR(AugSun1+31)=CalendarYear,MONTH(AugSun1+31)=8),AugSun1+31,""),IF(AND(YEAR(AugSun1+38)=CalendarYear,MONTH(AugSun1+38)=8),AugSun1+38,""))</f>
        <v/>
      </c>
      <c r="N27" s="10" t="str">
        <f>IF(DAY(AugSun1)=1,IF(AND(YEAR(AugSun1+32)=CalendarYear,MONTH(AugSun1+32)=8),AugSun1+32,""),IF(AND(YEAR(AugSun1+39)=CalendarYear,MONTH(AugSun1+39)=8),AugSun1+39,""))</f>
        <v/>
      </c>
      <c r="O27" s="10" t="str">
        <f>IF(DAY(AugSun1)=1,IF(AND(YEAR(AugSun1+33)=CalendarYear,MONTH(AugSun1+33)=8),AugSun1+33,""),IF(AND(YEAR(AugSun1+40)=CalendarYear,MONTH(AugSun1+40)=8),AugSun1+40,""))</f>
        <v/>
      </c>
      <c r="P27" s="10" t="str">
        <f>IF(DAY(AugSun1)=1,IF(AND(YEAR(AugSun1+34)=CalendarYear,MONTH(AugSun1+34)=8),AugSun1+34,""),IF(AND(YEAR(AugSun1+41)=CalendarYear,MONTH(AugSun1+41)=8),AugSun1+41,""))</f>
        <v/>
      </c>
      <c r="Q27" s="10" t="str">
        <f>IF(DAY(AugSun1)=1,IF(AND(YEAR(AugSun1+35)=CalendarYear,MONTH(AugSun1+35)=8),AugSun1+35,""),IF(AND(YEAR(AugSun1+42)=CalendarYear,MONTH(AugSun1+42)=8),AugSun1+42,""))</f>
        <v/>
      </c>
      <c r="R27" s="2"/>
      <c r="S27" s="10" t="str">
        <f>IF(DAY(SepSun1)=1,IF(AND(YEAR(SepSun1+29)=CalendarYear,MONTH(SepSun1+29)=9),SepSun1+29,""),IF(AND(YEAR(SepSun1+36)=CalendarYear,MONTH(SepSun1+36)=9),SepSun1+36,""))</f>
        <v/>
      </c>
      <c r="T27" s="10" t="str">
        <f>IF(DAY(SepSun1)=1,IF(AND(YEAR(SepSun1+30)=CalendarYear,MONTH(SepSun1+30)=9),SepSun1+30,""),IF(AND(YEAR(SepSun1+37)=CalendarYear,MONTH(SepSun1+37)=9),SepSun1+37,""))</f>
        <v/>
      </c>
      <c r="U27" s="10" t="str">
        <f>IF(DAY(SepSun1)=1,IF(AND(YEAR(SepSun1+31)=CalendarYear,MONTH(SepSun1+31)=9),SepSun1+31,""),IF(AND(YEAR(SepSun1+38)=CalendarYear,MONTH(SepSun1+38)=9),SepSun1+38,""))</f>
        <v/>
      </c>
      <c r="V27" s="10" t="str">
        <f>IF(DAY(SepSun1)=1,IF(AND(YEAR(SepSun1+32)=CalendarYear,MONTH(SepSun1+32)=9),SepSun1+32,""),IF(AND(YEAR(SepSun1+39)=CalendarYear,MONTH(SepSun1+39)=9),SepSun1+39,""))</f>
        <v/>
      </c>
      <c r="W27" s="10" t="str">
        <f>IF(DAY(SepSun1)=1,IF(AND(YEAR(SepSun1+33)=CalendarYear,MONTH(SepSun1+33)=9),SepSun1+33,""),IF(AND(YEAR(SepSun1+40)=CalendarYear,MONTH(SepSun1+40)=9),SepSun1+40,""))</f>
        <v/>
      </c>
      <c r="X27" s="10" t="str">
        <f>IF(DAY(SepSun1)=1,IF(AND(YEAR(SepSun1+34)=CalendarYear,MONTH(SepSun1+34)=9),SepSun1+34,""),IF(AND(YEAR(SepSun1+41)=CalendarYear,MONTH(SepSun1+41)=9),SepSun1+41,""))</f>
        <v/>
      </c>
      <c r="Y27" s="27" t="str">
        <f>IF(DAY(SepSun1)=1,IF(AND(YEAR(SepSun1+35)=CalendarYear,MONTH(SepSun1+35)=9),SepSun1+35,""),IF(AND(YEAR(SepSun1+42)=CalendarYear,MONTH(SepSun1+42)=9),SepSun1+42,""))</f>
        <v/>
      </c>
      <c r="AA27" s="84"/>
      <c r="AB27" s="84"/>
      <c r="AJ27" s="2"/>
    </row>
    <row r="28" spans="1:36" ht="15" customHeight="1" x14ac:dyDescent="0.2">
      <c r="A28" s="6"/>
      <c r="B28" s="2"/>
      <c r="C28" s="75" t="s">
        <v>17</v>
      </c>
      <c r="D28" s="76"/>
      <c r="E28" s="76"/>
      <c r="F28" s="76"/>
      <c r="G28" s="76"/>
      <c r="H28" s="76"/>
      <c r="I28" s="76"/>
      <c r="J28" s="22"/>
      <c r="K28" s="76" t="s">
        <v>6</v>
      </c>
      <c r="L28" s="76"/>
      <c r="M28" s="76"/>
      <c r="N28" s="76"/>
      <c r="O28" s="76"/>
      <c r="P28" s="76"/>
      <c r="Q28" s="76"/>
      <c r="R28" s="18"/>
      <c r="S28" s="76" t="s">
        <v>18</v>
      </c>
      <c r="T28" s="76"/>
      <c r="U28" s="76"/>
      <c r="V28" s="76"/>
      <c r="W28" s="76"/>
      <c r="X28" s="76"/>
      <c r="Y28" s="77"/>
      <c r="AA28" s="84"/>
      <c r="AB28" s="84"/>
      <c r="AJ28" s="2"/>
    </row>
    <row r="29" spans="1:36" ht="15" customHeight="1" x14ac:dyDescent="0.2">
      <c r="A29" s="6"/>
      <c r="C29" s="16" t="s">
        <v>1</v>
      </c>
      <c r="D29" s="4" t="s">
        <v>7</v>
      </c>
      <c r="E29" s="4" t="s">
        <v>8</v>
      </c>
      <c r="F29" s="4" t="s">
        <v>9</v>
      </c>
      <c r="G29" s="4" t="s">
        <v>10</v>
      </c>
      <c r="H29" s="4" t="s">
        <v>11</v>
      </c>
      <c r="I29" s="4" t="s">
        <v>12</v>
      </c>
      <c r="J29" s="10"/>
      <c r="K29" s="4" t="s">
        <v>1</v>
      </c>
      <c r="L29" s="4" t="s">
        <v>7</v>
      </c>
      <c r="M29" s="4" t="s">
        <v>8</v>
      </c>
      <c r="N29" s="4" t="s">
        <v>9</v>
      </c>
      <c r="O29" s="4" t="s">
        <v>10</v>
      </c>
      <c r="P29" s="4" t="s">
        <v>11</v>
      </c>
      <c r="Q29" s="4" t="s">
        <v>12</v>
      </c>
      <c r="R29" s="18"/>
      <c r="S29" s="4" t="s">
        <v>1</v>
      </c>
      <c r="T29" s="4" t="s">
        <v>7</v>
      </c>
      <c r="U29" s="4" t="s">
        <v>8</v>
      </c>
      <c r="V29" s="4" t="s">
        <v>9</v>
      </c>
      <c r="W29" s="4" t="s">
        <v>10</v>
      </c>
      <c r="X29" s="4" t="s">
        <v>11</v>
      </c>
      <c r="Y29" s="26" t="s">
        <v>12</v>
      </c>
      <c r="AA29" s="53" t="s">
        <v>33</v>
      </c>
    </row>
    <row r="30" spans="1:36" ht="15" customHeight="1" x14ac:dyDescent="0.2">
      <c r="A30" s="6"/>
      <c r="C30" s="17" t="str">
        <f>IF(DAY(OctSun1)=1,"",IF(AND(YEAR(OctSun1+1)=CalendarYear,MONTH(OctSun1+1)=10),OctSun1+1,""))</f>
        <v/>
      </c>
      <c r="D30" s="10" t="str">
        <f>IF(DAY(OctSun1)=1,"",IF(AND(YEAR(OctSun1+2)=CalendarYear,MONTH(OctSun1+2)=10),OctSun1+2,""))</f>
        <v/>
      </c>
      <c r="E30" s="23">
        <f>IF(DAY(OctSun1)=1,"",IF(AND(YEAR(OctSun1+3)=CalendarYear,MONTH(OctSun1+3)=10),OctSun1+3,""))</f>
        <v>45931</v>
      </c>
      <c r="F30" s="10">
        <f>IF(DAY(OctSun1)=1,"",IF(AND(YEAR(OctSun1+4)=CalendarYear,MONTH(OctSun1+4)=10),OctSun1+4,""))</f>
        <v>45932</v>
      </c>
      <c r="G30" s="10">
        <f>IF(DAY(OctSun1)=1,"",IF(AND(YEAR(OctSun1+5)=CalendarYear,MONTH(OctSun1+5)=10),OctSun1+5,""))</f>
        <v>45933</v>
      </c>
      <c r="H30" s="10">
        <f>IF(DAY(OctSun1)=1,"",IF(AND(YEAR(OctSun1+6)=CalendarYear,MONTH(OctSun1+6)=10),OctSun1+6,""))</f>
        <v>45934</v>
      </c>
      <c r="I30" s="10">
        <f>IF(DAY(OctSun1)=1,IF(AND(YEAR(OctSun1)=CalendarYear,MONTH(OctSun1)=10),OctSun1,""),IF(AND(YEAR(OctSun1+7)=CalendarYear,MONTH(OctSun1+7)=10),OctSun1+7,""))</f>
        <v>45935</v>
      </c>
      <c r="J30" s="2"/>
      <c r="K30" s="10" t="str">
        <f>IF(DAY(NovSun1)=1,"",IF(AND(YEAR(NovSun1+1)=CalendarYear,MONTH(NovSun1+1)=11),NovSun1+1,""))</f>
        <v/>
      </c>
      <c r="L30" s="10" t="str">
        <f>IF(DAY(NovSun1)=1,"",IF(AND(YEAR(NovSun1+2)=CalendarYear,MONTH(NovSun1+2)=11),NovSun1+2,""))</f>
        <v/>
      </c>
      <c r="M30" s="10" t="str">
        <f>IF(DAY(NovSun1)=1,"",IF(AND(YEAR(NovSun1+3)=CalendarYear,MONTH(NovSun1+3)=11),NovSun1+3,""))</f>
        <v/>
      </c>
      <c r="N30" s="10" t="str">
        <f>IF(DAY(NovSun1)=1,"",IF(AND(YEAR(NovSun1+4)=CalendarYear,MONTH(NovSun1+4)=11),NovSun1+4,""))</f>
        <v/>
      </c>
      <c r="O30" s="10" t="str">
        <f>IF(DAY(NovSun1)=1,"",IF(AND(YEAR(NovSun1+5)=CalendarYear,MONTH(NovSun1+5)=11),NovSun1+5,""))</f>
        <v/>
      </c>
      <c r="P30" s="10">
        <f>IF(DAY(NovSun1)=1,"",IF(AND(YEAR(NovSun1+6)=CalendarYear,MONTH(NovSun1+6)=11),NovSun1+6,""))</f>
        <v>45962</v>
      </c>
      <c r="Q30" s="10">
        <f>IF(DAY(NovSun1)=1,IF(AND(YEAR(NovSun1)=CalendarYear,MONTH(NovSun1)=11),NovSun1,""),IF(AND(YEAR(NovSun1+7)=CalendarYear,MONTH(NovSun1+7)=11),NovSun1+7,""))</f>
        <v>45963</v>
      </c>
      <c r="R30" s="18"/>
      <c r="S30" s="23">
        <f>IF(DAY(DecSun1)=1,"",IF(AND(YEAR(DecSun1+1)=CalendarYear,MONTH(DecSun1+1)=12),DecSun1+1,""))</f>
        <v>45992</v>
      </c>
      <c r="T30" s="10">
        <f>IF(DAY(DecSun1)=1,"",IF(AND(YEAR(DecSun1+2)=CalendarYear,MONTH(DecSun1+2)=12),DecSun1+2,""))</f>
        <v>45993</v>
      </c>
      <c r="U30" s="10">
        <f>IF(DAY(DecSun1)=1,"",IF(AND(YEAR(DecSun1+3)=CalendarYear,MONTH(DecSun1+3)=12),DecSun1+3,""))</f>
        <v>45994</v>
      </c>
      <c r="V30" s="10">
        <f>IF(DAY(DecSun1)=1,"",IF(AND(YEAR(DecSun1+4)=CalendarYear,MONTH(DecSun1+4)=12),DecSun1+4,""))</f>
        <v>45995</v>
      </c>
      <c r="W30" s="10">
        <f>IF(DAY(DecSun1)=1,"",IF(AND(YEAR(DecSun1+5)=CalendarYear,MONTH(DecSun1+5)=12),DecSun1+5,""))</f>
        <v>45996</v>
      </c>
      <c r="X30" s="10">
        <f>IF(DAY(DecSun1)=1,"",IF(AND(YEAR(DecSun1+6)=CalendarYear,MONTH(DecSun1+6)=12),DecSun1+6,""))</f>
        <v>45997</v>
      </c>
      <c r="Y30" s="27">
        <f>IF(DAY(DecSun1)=1,IF(AND(YEAR(DecSun1)=CalendarYear,MONTH(DecSun1)=12),DecSun1,""),IF(AND(YEAR(DecSun1+7)=CalendarYear,MONTH(DecSun1+7)=12),DecSun1+7,""))</f>
        <v>45998</v>
      </c>
      <c r="AA30" s="84" t="s">
        <v>34</v>
      </c>
      <c r="AB30" s="14"/>
    </row>
    <row r="31" spans="1:36" ht="15" customHeight="1" x14ac:dyDescent="0.2">
      <c r="A31" s="6"/>
      <c r="C31" s="17">
        <f>IF(DAY(OctSun1)=1,IF(AND(YEAR(OctSun1+1)=CalendarYear,MONTH(OctSun1+1)=10),OctSun1+1,""),IF(AND(YEAR(OctSun1+8)=CalendarYear,MONTH(OctSun1+8)=10),OctSun1+8,""))</f>
        <v>45936</v>
      </c>
      <c r="D31" s="10">
        <f>IF(DAY(OctSun1)=1,IF(AND(YEAR(OctSun1+2)=CalendarYear,MONTH(OctSun1+2)=10),OctSun1+2,""),IF(AND(YEAR(OctSun1+9)=CalendarYear,MONTH(OctSun1+9)=10),OctSun1+9,""))</f>
        <v>45937</v>
      </c>
      <c r="E31" s="10">
        <f>IF(DAY(OctSun1)=1,IF(AND(YEAR(OctSun1+3)=CalendarYear,MONTH(OctSun1+3)=10),OctSun1+3,""),IF(AND(YEAR(OctSun1+10)=CalendarYear,MONTH(OctSun1+10)=10),OctSun1+10,""))</f>
        <v>45938</v>
      </c>
      <c r="F31" s="10">
        <f>IF(DAY(OctSun1)=1,IF(AND(YEAR(OctSun1+4)=CalendarYear,MONTH(OctSun1+4)=10),OctSun1+4,""),IF(AND(YEAR(OctSun1+11)=CalendarYear,MONTH(OctSun1+11)=10),OctSun1+11,""))</f>
        <v>45939</v>
      </c>
      <c r="G31" s="10">
        <f>IF(DAY(OctSun1)=1,IF(AND(YEAR(OctSun1+5)=CalendarYear,MONTH(OctSun1+5)=10),OctSun1+5,""),IF(AND(YEAR(OctSun1+12)=CalendarYear,MONTH(OctSun1+12)=10),OctSun1+12,""))</f>
        <v>45940</v>
      </c>
      <c r="H31" s="10">
        <f>IF(DAY(OctSun1)=1,IF(AND(YEAR(OctSun1+6)=CalendarYear,MONTH(OctSun1+6)=10),OctSun1+6,""),IF(AND(YEAR(OctSun1+13)=CalendarYear,MONTH(OctSun1+13)=10),OctSun1+13,""))</f>
        <v>45941</v>
      </c>
      <c r="I31" s="10">
        <f>IF(DAY(OctSun1)=1,IF(AND(YEAR(OctSun1+7)=CalendarYear,MONTH(OctSun1+7)=10),OctSun1+7,""),IF(AND(YEAR(OctSun1+14)=CalendarYear,MONTH(OctSun1+14)=10),OctSun1+14,""))</f>
        <v>45942</v>
      </c>
      <c r="J31" s="18"/>
      <c r="K31" s="23">
        <f>IF(DAY(NovSun1)=1,IF(AND(YEAR(NovSun1+1)=CalendarYear,MONTH(NovSun1+1)=11),NovSun1+1,""),IF(AND(YEAR(NovSun1+8)=CalendarYear,MONTH(NovSun1+8)=11),NovSun1+8,""))</f>
        <v>45964</v>
      </c>
      <c r="L31" s="10">
        <f>IF(DAY(NovSun1)=1,IF(AND(YEAR(NovSun1+2)=CalendarYear,MONTH(NovSun1+2)=11),NovSun1+2,""),IF(AND(YEAR(NovSun1+9)=CalendarYear,MONTH(NovSun1+9)=11),NovSun1+9,""))</f>
        <v>45965</v>
      </c>
      <c r="M31" s="10">
        <f>IF(DAY(NovSun1)=1,IF(AND(YEAR(NovSun1+3)=CalendarYear,MONTH(NovSun1+3)=11),NovSun1+3,""),IF(AND(YEAR(NovSun1+10)=CalendarYear,MONTH(NovSun1+10)=11),NovSun1+10,""))</f>
        <v>45966</v>
      </c>
      <c r="N31" s="10">
        <f>IF(DAY(NovSun1)=1,IF(AND(YEAR(NovSun1+4)=CalendarYear,MONTH(NovSun1+4)=11),NovSun1+4,""),IF(AND(YEAR(NovSun1+11)=CalendarYear,MONTH(NovSun1+11)=11),NovSun1+11,""))</f>
        <v>45967</v>
      </c>
      <c r="O31" s="10">
        <f>IF(DAY(NovSun1)=1,IF(AND(YEAR(NovSun1+5)=CalendarYear,MONTH(NovSun1+5)=11),NovSun1+5,""),IF(AND(YEAR(NovSun1+12)=CalendarYear,MONTH(NovSun1+12)=11),NovSun1+12,""))</f>
        <v>45968</v>
      </c>
      <c r="P31" s="10">
        <f>IF(DAY(NovSun1)=1,IF(AND(YEAR(NovSun1+6)=CalendarYear,MONTH(NovSun1+6)=11),NovSun1+6,""),IF(AND(YEAR(NovSun1+13)=CalendarYear,MONTH(NovSun1+13)=11),NovSun1+13,""))</f>
        <v>45969</v>
      </c>
      <c r="Q31" s="10">
        <f>IF(DAY(NovSun1)=1,IF(AND(YEAR(NovSun1+7)=CalendarYear,MONTH(NovSun1+7)=11),NovSun1+7,""),IF(AND(YEAR(NovSun1+14)=CalendarYear,MONTH(NovSun1+14)=11),NovSun1+14,""))</f>
        <v>45970</v>
      </c>
      <c r="R31" s="18"/>
      <c r="S31" s="10">
        <f>IF(DAY(DecSun1)=1,IF(AND(YEAR(DecSun1+1)=CalendarYear,MONTH(DecSun1+1)=12),DecSun1+1,""),IF(AND(YEAR(DecSun1+8)=CalendarYear,MONTH(DecSun1+8)=12),DecSun1+8,""))</f>
        <v>45999</v>
      </c>
      <c r="T31" s="10">
        <f>IF(DAY(DecSun1)=1,IF(AND(YEAR(DecSun1+2)=CalendarYear,MONTH(DecSun1+2)=12),DecSun1+2,""),IF(AND(YEAR(DecSun1+9)=CalendarYear,MONTH(DecSun1+9)=12),DecSun1+9,""))</f>
        <v>46000</v>
      </c>
      <c r="U31" s="10">
        <f>IF(DAY(DecSun1)=1,IF(AND(YEAR(DecSun1+3)=CalendarYear,MONTH(DecSun1+3)=12),DecSun1+3,""),IF(AND(YEAR(DecSun1+10)=CalendarYear,MONTH(DecSun1+10)=12),DecSun1+10,""))</f>
        <v>46001</v>
      </c>
      <c r="V31" s="10">
        <f>IF(DAY(DecSun1)=1,IF(AND(YEAR(DecSun1+4)=CalendarYear,MONTH(DecSun1+4)=12),DecSun1+4,""),IF(AND(YEAR(DecSun1+11)=CalendarYear,MONTH(DecSun1+11)=12),DecSun1+11,""))</f>
        <v>46002</v>
      </c>
      <c r="W31" s="10">
        <f>IF(DAY(DecSun1)=1,IF(AND(YEAR(DecSun1+5)=CalendarYear,MONTH(DecSun1+5)=12),DecSun1+5,""),IF(AND(YEAR(DecSun1+12)=CalendarYear,MONTH(DecSun1+12)=12),DecSun1+12,""))</f>
        <v>46003</v>
      </c>
      <c r="X31" s="10">
        <f>IF(DAY(DecSun1)=1,IF(AND(YEAR(DecSun1+6)=CalendarYear,MONTH(DecSun1+6)=12),DecSun1+6,""),IF(AND(YEAR(DecSun1+13)=CalendarYear,MONTH(DecSun1+13)=12),DecSun1+13,""))</f>
        <v>46004</v>
      </c>
      <c r="Y31" s="27">
        <f>IF(DAY(DecSun1)=1,IF(AND(YEAR(DecSun1+7)=CalendarYear,MONTH(DecSun1+7)=12),DecSun1+7,""),IF(AND(YEAR(DecSun1+14)=CalendarYear,MONTH(DecSun1+14)=12),DecSun1+14,""))</f>
        <v>46005</v>
      </c>
      <c r="AA31" s="84"/>
      <c r="AB31" s="14"/>
    </row>
    <row r="32" spans="1:36" ht="15" customHeight="1" x14ac:dyDescent="0.2">
      <c r="C32" s="17">
        <f>IF(DAY(OctSun1)=1,IF(AND(YEAR(OctSun1+8)=CalendarYear,MONTH(OctSun1+8)=10),OctSun1+8,""),IF(AND(YEAR(OctSun1+15)=CalendarYear,MONTH(OctSun1+15)=10),OctSun1+15,""))</f>
        <v>45943</v>
      </c>
      <c r="D32" s="10">
        <f>IF(DAY(OctSun1)=1,IF(AND(YEAR(OctSun1+9)=CalendarYear,MONTH(OctSun1+9)=10),OctSun1+9,""),IF(AND(YEAR(OctSun1+16)=CalendarYear,MONTH(OctSun1+16)=10),OctSun1+16,""))</f>
        <v>45944</v>
      </c>
      <c r="E32" s="69">
        <f>IF(DAY(OctSun1)=1,IF(AND(YEAR(OctSun1+10)=CalendarYear,MONTH(OctSun1+10)=10),OctSun1+10,""),IF(AND(YEAR(OctSun1+17)=CalendarYear,MONTH(OctSun1+17)=10),OctSun1+17,""))</f>
        <v>45945</v>
      </c>
      <c r="F32" s="29">
        <f>IF(DAY(OctSun1)=1,IF(AND(YEAR(OctSun1+11)=CalendarYear,MONTH(OctSun1+11)=10),OctSun1+11,""),IF(AND(YEAR(OctSun1+18)=CalendarYear,MONTH(OctSun1+18)=10),OctSun1+18,""))</f>
        <v>45946</v>
      </c>
      <c r="G32" s="10">
        <f>IF(DAY(OctSun1)=1,IF(AND(YEAR(OctSun1+12)=CalendarYear,MONTH(OctSun1+12)=10),OctSun1+12,""),IF(AND(YEAR(OctSun1+19)=CalendarYear,MONTH(OctSun1+19)=10),OctSun1+19,""))</f>
        <v>45947</v>
      </c>
      <c r="H32" s="10">
        <f>IF(DAY(OctSun1)=1,IF(AND(YEAR(OctSun1+13)=CalendarYear,MONTH(OctSun1+13)=10),OctSun1+13,""),IF(AND(YEAR(OctSun1+20)=CalendarYear,MONTH(OctSun1+20)=10),OctSun1+20,""))</f>
        <v>45948</v>
      </c>
      <c r="I32" s="10">
        <f>IF(DAY(OctSun1)=1,IF(AND(YEAR(OctSun1+14)=CalendarYear,MONTH(OctSun1+14)=10),OctSun1+14,""),IF(AND(YEAR(OctSun1+21)=CalendarYear,MONTH(OctSun1+21)=10),OctSun1+21,""))</f>
        <v>45949</v>
      </c>
      <c r="J32" s="18"/>
      <c r="K32" s="10">
        <f>IF(DAY(NovSun1)=1,IF(AND(YEAR(NovSun1+8)=CalendarYear,MONTH(NovSun1+8)=11),NovSun1+8,""),IF(AND(YEAR(NovSun1+15)=CalendarYear,MONTH(NovSun1+15)=11),NovSun1+15,""))</f>
        <v>45971</v>
      </c>
      <c r="L32" s="10">
        <f>IF(DAY(NovSun1)=1,IF(AND(YEAR(NovSun1+9)=CalendarYear,MONTH(NovSun1+9)=11),NovSun1+9,""),IF(AND(YEAR(NovSun1+16)=CalendarYear,MONTH(NovSun1+16)=11),NovSun1+16,""))</f>
        <v>45972</v>
      </c>
      <c r="M32" s="10">
        <f>IF(DAY(NovSun1)=1,IF(AND(YEAR(NovSun1+10)=CalendarYear,MONTH(NovSun1+10)=11),NovSun1+10,""),IF(AND(YEAR(NovSun1+17)=CalendarYear,MONTH(NovSun1+17)=11),NovSun1+17,""))</f>
        <v>45973</v>
      </c>
      <c r="N32" s="10">
        <f>IF(DAY(NovSun1)=1,IF(AND(YEAR(NovSun1+11)=CalendarYear,MONTH(NovSun1+11)=11),NovSun1+11,""),IF(AND(YEAR(NovSun1+18)=CalendarYear,MONTH(NovSun1+18)=11),NovSun1+18,""))</f>
        <v>45974</v>
      </c>
      <c r="O32" s="10">
        <f>IF(DAY(NovSun1)=1,IF(AND(YEAR(NovSun1+12)=CalendarYear,MONTH(NovSun1+12)=11),NovSun1+12,""),IF(AND(YEAR(NovSun1+19)=CalendarYear,MONTH(NovSun1+19)=11),NovSun1+19,""))</f>
        <v>45975</v>
      </c>
      <c r="P32" s="10">
        <f>IF(DAY(NovSun1)=1,IF(AND(YEAR(NovSun1+13)=CalendarYear,MONTH(NovSun1+13)=11),NovSun1+13,""),IF(AND(YEAR(NovSun1+20)=CalendarYear,MONTH(NovSun1+20)=11),NovSun1+20,""))</f>
        <v>45976</v>
      </c>
      <c r="Q32" s="10">
        <f>IF(DAY(NovSun1)=1,IF(AND(YEAR(NovSun1+14)=CalendarYear,MONTH(NovSun1+14)=11),NovSun1+14,""),IF(AND(YEAR(NovSun1+21)=CalendarYear,MONTH(NovSun1+21)=11),NovSun1+21,""))</f>
        <v>45977</v>
      </c>
      <c r="R32" s="18"/>
      <c r="S32" s="69">
        <f>IF(DAY(DecSun1)=1,IF(AND(YEAR(DecSun1+8)=CalendarYear,MONTH(DecSun1+8)=12),DecSun1+8,""),IF(AND(YEAR(DecSun1+15)=CalendarYear,MONTH(DecSun1+15)=12),DecSun1+15,""))</f>
        <v>46006</v>
      </c>
      <c r="T32" s="29">
        <f>IF(DAY(DecSun1)=1,IF(AND(YEAR(DecSun1+9)=CalendarYear,MONTH(DecSun1+9)=12),DecSun1+9,""),IF(AND(YEAR(DecSun1+16)=CalendarYear,MONTH(DecSun1+16)=12),DecSun1+16,""))</f>
        <v>46007</v>
      </c>
      <c r="U32" s="10">
        <f>IF(DAY(DecSun1)=1,IF(AND(YEAR(DecSun1+10)=CalendarYear,MONTH(DecSun1+10)=12),DecSun1+10,""),IF(AND(YEAR(DecSun1+17)=CalendarYear,MONTH(DecSun1+17)=12),DecSun1+17,""))</f>
        <v>46008</v>
      </c>
      <c r="V32" s="10">
        <f>IF(DAY(DecSun1)=1,IF(AND(YEAR(DecSun1+11)=CalendarYear,MONTH(DecSun1+11)=12),DecSun1+11,""),IF(AND(YEAR(DecSun1+18)=CalendarYear,MONTH(DecSun1+18)=12),DecSun1+18,""))</f>
        <v>46009</v>
      </c>
      <c r="W32" s="13">
        <f>IF(DAY(DecSun1)=1,IF(AND(YEAR(DecSun1+12)=CalendarYear,MONTH(DecSun1+12)=12),DecSun1+12,""),IF(AND(YEAR(DecSun1+19)=CalendarYear,MONTH(DecSun1+19)=12),DecSun1+19,""))</f>
        <v>46010</v>
      </c>
      <c r="X32" s="10">
        <f>IF(DAY(DecSun1)=1,IF(AND(YEAR(DecSun1+13)=CalendarYear,MONTH(DecSun1+13)=12),DecSun1+13,""),IF(AND(YEAR(DecSun1+20)=CalendarYear,MONTH(DecSun1+20)=12),DecSun1+20,""))</f>
        <v>46011</v>
      </c>
      <c r="Y32" s="27">
        <f>IF(DAY(DecSun1)=1,IF(AND(YEAR(DecSun1+14)=CalendarYear,MONTH(DecSun1+14)=12),DecSun1+14,""),IF(AND(YEAR(DecSun1+21)=CalendarYear,MONTH(DecSun1+21)=12),DecSun1+21,""))</f>
        <v>46012</v>
      </c>
    </row>
    <row r="33" spans="3:27" ht="15" customHeight="1" x14ac:dyDescent="0.2">
      <c r="C33" s="17">
        <f>IF(DAY(OctSun1)=1,IF(AND(YEAR(OctSun1+15)=CalendarYear,MONTH(OctSun1+15)=10),OctSun1+15,""),IF(AND(YEAR(OctSun1+22)=CalendarYear,MONTH(OctSun1+22)=10),OctSun1+22,""))</f>
        <v>45950</v>
      </c>
      <c r="D33" s="13">
        <f>IF(DAY(OctSun1)=1,IF(AND(YEAR(OctSun1+16)=CalendarYear,MONTH(OctSun1+16)=10),OctSun1+16,""),IF(AND(YEAR(OctSun1+23)=CalendarYear,MONTH(OctSun1+23)=10),OctSun1+23,""))</f>
        <v>45951</v>
      </c>
      <c r="E33" s="10">
        <f>IF(DAY(OctSun1)=1,IF(AND(YEAR(OctSun1+17)=CalendarYear,MONTH(OctSun1+17)=10),OctSun1+17,""),IF(AND(YEAR(OctSun1+24)=CalendarYear,MONTH(OctSun1+24)=10),OctSun1+24,""))</f>
        <v>45952</v>
      </c>
      <c r="F33" s="10">
        <f>IF(DAY(OctSun1)=1,IF(AND(YEAR(OctSun1+18)=CalendarYear,MONTH(OctSun1+18)=10),OctSun1+18,""),IF(AND(YEAR(OctSun1+25)=CalendarYear,MONTH(OctSun1+25)=10),OctSun1+25,""))</f>
        <v>45953</v>
      </c>
      <c r="G33" s="10">
        <f>IF(DAY(OctSun1)=1,IF(AND(YEAR(OctSun1+19)=CalendarYear,MONTH(OctSun1+19)=10),OctSun1+19,""),IF(AND(YEAR(OctSun1+26)=CalendarYear,MONTH(OctSun1+26)=10),OctSun1+26,""))</f>
        <v>45954</v>
      </c>
      <c r="H33" s="10">
        <f>IF(DAY(OctSun1)=1,IF(AND(YEAR(OctSun1+20)=CalendarYear,MONTH(OctSun1+20)=10),OctSun1+20,""),IF(AND(YEAR(OctSun1+27)=CalendarYear,MONTH(OctSun1+27)=10),OctSun1+27,""))</f>
        <v>45955</v>
      </c>
      <c r="I33" s="10">
        <f>IF(DAY(OctSun1)=1,IF(AND(YEAR(OctSun1+21)=CalendarYear,MONTH(OctSun1+21)=10),OctSun1+21,""),IF(AND(YEAR(OctSun1+28)=CalendarYear,MONTH(OctSun1+28)=10),OctSun1+28,""))</f>
        <v>45956</v>
      </c>
      <c r="J33" s="18"/>
      <c r="K33" s="69">
        <f>IF(DAY(NovSun1)=1,IF(AND(YEAR(NovSun1+15)=CalendarYear,MONTH(NovSun1+15)=11),NovSun1+15,""),IF(AND(YEAR(NovSun1+22)=CalendarYear,MONTH(NovSun1+22)=11),NovSun1+22,""))</f>
        <v>45978</v>
      </c>
      <c r="L33" s="29">
        <f>IF(DAY(NovSun1)=1,IF(AND(YEAR(NovSun1+16)=CalendarYear,MONTH(NovSun1+16)=11),NovSun1+16,""),IF(AND(YEAR(NovSun1+23)=CalendarYear,MONTH(NovSun1+23)=11),NovSun1+23,""))</f>
        <v>45979</v>
      </c>
      <c r="M33" s="10">
        <f>IF(DAY(NovSun1)=1,IF(AND(YEAR(NovSun1+17)=CalendarYear,MONTH(NovSun1+17)=11),NovSun1+17,""),IF(AND(YEAR(NovSun1+24)=CalendarYear,MONTH(NovSun1+24)=11),NovSun1+24,""))</f>
        <v>45980</v>
      </c>
      <c r="N33" s="10">
        <f>IF(DAY(NovSun1)=1,IF(AND(YEAR(NovSun1+18)=CalendarYear,MONTH(NovSun1+18)=11),NovSun1+18,""),IF(AND(YEAR(NovSun1+25)=CalendarYear,MONTH(NovSun1+25)=11),NovSun1+25,""))</f>
        <v>45981</v>
      </c>
      <c r="O33" s="13">
        <f>IF(DAY(NovSun1)=1,IF(AND(YEAR(NovSun1+19)=CalendarYear,MONTH(NovSun1+19)=11),NovSun1+19,""),IF(AND(YEAR(NovSun1+26)=CalendarYear,MONTH(NovSun1+26)=11),NovSun1+26,""))</f>
        <v>45982</v>
      </c>
      <c r="P33" s="10">
        <f>IF(DAY(NovSun1)=1,IF(AND(YEAR(NovSun1+20)=CalendarYear,MONTH(NovSun1+20)=11),NovSun1+20,""),IF(AND(YEAR(NovSun1+27)=CalendarYear,MONTH(NovSun1+27)=11),NovSun1+27,""))</f>
        <v>45983</v>
      </c>
      <c r="Q33" s="10">
        <f>IF(DAY(NovSun1)=1,IF(AND(YEAR(NovSun1+21)=CalendarYear,MONTH(NovSun1+21)=11),NovSun1+21,""),IF(AND(YEAR(NovSun1+28)=CalendarYear,MONTH(NovSun1+28)=11),NovSun1+28,""))</f>
        <v>45984</v>
      </c>
      <c r="R33" s="18"/>
      <c r="S33" s="70">
        <f>IF(DAY(DecSun1)=1,IF(AND(YEAR(DecSun1+15)=CalendarYear,MONTH(DecSun1+15)=12),DecSun1+15,""),IF(AND(YEAR(DecSun1+22)=CalendarYear,MONTH(DecSun1+22)=12),DecSun1+22,""))</f>
        <v>46013</v>
      </c>
      <c r="T33" s="10">
        <f>IF(DAY(DecSun1)=1,IF(AND(YEAR(DecSun1+16)=CalendarYear,MONTH(DecSun1+16)=12),DecSun1+16,""),IF(AND(YEAR(DecSun1+23)=CalendarYear,MONTH(DecSun1+23)=12),DecSun1+23,""))</f>
        <v>46014</v>
      </c>
      <c r="U33" s="10">
        <f>IF(DAY(DecSun1)=1,IF(AND(YEAR(DecSun1+17)=CalendarYear,MONTH(DecSun1+17)=12),DecSun1+17,""),IF(AND(YEAR(DecSun1+24)=CalendarYear,MONTH(DecSun1+24)=12),DecSun1+24,""))</f>
        <v>46015</v>
      </c>
      <c r="V33" s="10">
        <f>IF(DAY(DecSun1)=1,IF(AND(YEAR(DecSun1+18)=CalendarYear,MONTH(DecSun1+18)=12),DecSun1+18,""),IF(AND(YEAR(DecSun1+25)=CalendarYear,MONTH(DecSun1+25)=12),DecSun1+25,""))</f>
        <v>46016</v>
      </c>
      <c r="W33" s="10">
        <f>IF(DAY(DecSun1)=1,IF(AND(YEAR(DecSun1+19)=CalendarYear,MONTH(DecSun1+19)=12),DecSun1+19,""),IF(AND(YEAR(DecSun1+26)=CalendarYear,MONTH(DecSun1+26)=12),DecSun1+26,""))</f>
        <v>46017</v>
      </c>
      <c r="X33" s="10">
        <f>IF(DAY(DecSun1)=1,IF(AND(YEAR(DecSun1+20)=CalendarYear,MONTH(DecSun1+20)=12),DecSun1+20,""),IF(AND(YEAR(DecSun1+27)=CalendarYear,MONTH(DecSun1+27)=12),DecSun1+27,""))</f>
        <v>46018</v>
      </c>
      <c r="Y33" s="27">
        <f>IF(DAY(DecSun1)=1,IF(AND(YEAR(DecSun1+21)=CalendarYear,MONTH(DecSun1+21)=12),DecSun1+21,""),IF(AND(YEAR(DecSun1+28)=CalendarYear,MONTH(DecSun1+28)=12),DecSun1+28,""))</f>
        <v>46019</v>
      </c>
    </row>
    <row r="34" spans="3:27" ht="15" customHeight="1" x14ac:dyDescent="0.2">
      <c r="C34" s="17">
        <f>IF(DAY(OctSun1)=1,IF(AND(YEAR(OctSun1+22)=CalendarYear,MONTH(OctSun1+22)=10),OctSun1+22,""),IF(AND(YEAR(OctSun1+29)=CalendarYear,MONTH(OctSun1+29)=10),OctSun1+29,""))</f>
        <v>45957</v>
      </c>
      <c r="D34" s="10">
        <f>IF(DAY(OctSun1)=1,IF(AND(YEAR(OctSun1+23)=CalendarYear,MONTH(OctSun1+23)=10),OctSun1+23,""),IF(AND(YEAR(OctSun1+30)=CalendarYear,MONTH(OctSun1+30)=10),OctSun1+30,""))</f>
        <v>45958</v>
      </c>
      <c r="E34" s="10">
        <f>IF(DAY(OctSun1)=1,IF(AND(YEAR(OctSun1+24)=CalendarYear,MONTH(OctSun1+24)=10),OctSun1+24,""),IF(AND(YEAR(OctSun1+31)=CalendarYear,MONTH(OctSun1+31)=10),OctSun1+31,""))</f>
        <v>45959</v>
      </c>
      <c r="F34" s="10">
        <f>IF(DAY(OctSun1)=1,IF(AND(YEAR(OctSun1+25)=CalendarYear,MONTH(OctSun1+25)=10),OctSun1+25,""),IF(AND(YEAR(OctSun1+32)=CalendarYear,MONTH(OctSun1+32)=10),OctSun1+32,""))</f>
        <v>45960</v>
      </c>
      <c r="G34" s="30">
        <f>IF(DAY(OctSun1)=1,IF(AND(YEAR(OctSun1+26)=CalendarYear,MONTH(OctSun1+26)=10),OctSun1+26,""),IF(AND(YEAR(OctSun1+33)=CalendarYear,MONTH(OctSun1+33)=10),OctSun1+33,""))</f>
        <v>45961</v>
      </c>
      <c r="H34" s="10" t="str">
        <f>IF(DAY(OctSun1)=1,IF(AND(YEAR(OctSun1+27)=CalendarYear,MONTH(OctSun1+27)=10),OctSun1+27,""),IF(AND(YEAR(OctSun1+34)=CalendarYear,MONTH(OctSun1+34)=10),OctSun1+34,""))</f>
        <v/>
      </c>
      <c r="I34" s="10" t="str">
        <f>IF(DAY(OctSun1)=1,IF(AND(YEAR(OctSun1+28)=CalendarYear,MONTH(OctSun1+28)=10),OctSun1+28,""),IF(AND(YEAR(OctSun1+35)=CalendarYear,MONTH(OctSun1+35)=10),OctSun1+35,""))</f>
        <v/>
      </c>
      <c r="J34" s="18"/>
      <c r="K34" s="10">
        <f>IF(DAY(NovSun1)=1,IF(AND(YEAR(NovSun1+22)=CalendarYear,MONTH(NovSun1+22)=11),NovSun1+22,""),IF(AND(YEAR(NovSun1+29)=CalendarYear,MONTH(NovSun1+29)=11),NovSun1+29,""))</f>
        <v>45985</v>
      </c>
      <c r="L34" s="10">
        <f>IF(DAY(NovSun1)=1,IF(AND(YEAR(NovSun1+23)=CalendarYear,MONTH(NovSun1+23)=11),NovSun1+23,""),IF(AND(YEAR(NovSun1+30)=CalendarYear,MONTH(NovSun1+30)=11),NovSun1+30,""))</f>
        <v>45986</v>
      </c>
      <c r="M34" s="10">
        <f>IF(DAY(NovSun1)=1,IF(AND(YEAR(NovSun1+24)=CalendarYear,MONTH(NovSun1+24)=11),NovSun1+24,""),IF(AND(YEAR(NovSun1+31)=CalendarYear,MONTH(NovSun1+31)=11),NovSun1+31,""))</f>
        <v>45987</v>
      </c>
      <c r="N34" s="10">
        <f>IF(DAY(NovSun1)=1,IF(AND(YEAR(NovSun1+25)=CalendarYear,MONTH(NovSun1+25)=11),NovSun1+25,""),IF(AND(YEAR(NovSun1+32)=CalendarYear,MONTH(NovSun1+32)=11),NovSun1+32,""))</f>
        <v>45988</v>
      </c>
      <c r="O34" s="69">
        <f>IF(DAY(NovSun1)=1,IF(AND(YEAR(NovSun1+26)=CalendarYear,MONTH(NovSun1+26)=11),NovSun1+26,""),IF(AND(YEAR(NovSun1+33)=CalendarYear,MONTH(NovSun1+33)=11),NovSun1+33,""))</f>
        <v>45989</v>
      </c>
      <c r="P34" s="10">
        <f>IF(DAY(NovSun1)=1,IF(AND(YEAR(NovSun1+27)=CalendarYear,MONTH(NovSun1+27)=11),NovSun1+27,""),IF(AND(YEAR(NovSun1+34)=CalendarYear,MONTH(NovSun1+34)=11),NovSun1+34,""))</f>
        <v>45990</v>
      </c>
      <c r="Q34" s="30">
        <f>IF(DAY(NovSun1)=1,IF(AND(YEAR(NovSun1+28)=CalendarYear,MONTH(NovSun1+28)=11),NovSun1+28,""),IF(AND(YEAR(NovSun1+35)=CalendarYear,MONTH(NovSun1+35)=11),NovSun1+35,""))</f>
        <v>45991</v>
      </c>
      <c r="R34" s="18"/>
      <c r="S34" s="10">
        <f>IF(DAY(DecSun1)=1,IF(AND(YEAR(DecSun1+22)=CalendarYear,MONTH(DecSun1+22)=12),DecSun1+22,""),IF(AND(YEAR(DecSun1+29)=CalendarYear,MONTH(DecSun1+29)=12),DecSun1+29,""))</f>
        <v>46020</v>
      </c>
      <c r="T34" s="69">
        <f>IF(DAY(DecSun1)=1,IF(AND(YEAR(DecSun1+23)=CalendarYear,MONTH(DecSun1+23)=12),DecSun1+23,""),IF(AND(YEAR(DecSun1+30)=CalendarYear,MONTH(DecSun1+30)=12),DecSun1+30,""))</f>
        <v>46021</v>
      </c>
      <c r="U34" s="30">
        <f>IF(DAY(DecSun1)=1,IF(AND(YEAR(DecSun1+24)=CalendarYear,MONTH(DecSun1+24)=12),DecSun1+24,""),IF(AND(YEAR(DecSun1+31)=CalendarYear,MONTH(DecSun1+31)=12),DecSun1+31,""))</f>
        <v>46022</v>
      </c>
      <c r="V34" s="10" t="str">
        <f>IF(DAY(DecSun1)=1,IF(AND(YEAR(DecSun1+25)=CalendarYear,MONTH(DecSun1+25)=12),DecSun1+25,""),IF(AND(YEAR(DecSun1+32)=CalendarYear,MONTH(DecSun1+32)=12),DecSun1+32,""))</f>
        <v/>
      </c>
      <c r="W34" s="10" t="str">
        <f>IF(DAY(DecSun1)=1,IF(AND(YEAR(DecSun1+26)=CalendarYear,MONTH(DecSun1+26)=12),DecSun1+26,""),IF(AND(YEAR(DecSun1+33)=CalendarYear,MONTH(DecSun1+33)=12),DecSun1+33,""))</f>
        <v/>
      </c>
      <c r="X34" s="10" t="str">
        <f>IF(DAY(DecSun1)=1,IF(AND(YEAR(DecSun1+27)=CalendarYear,MONTH(DecSun1+27)=12),DecSun1+27,""),IF(AND(YEAR(DecSun1+34)=CalendarYear,MONTH(DecSun1+34)=12),DecSun1+34,""))</f>
        <v/>
      </c>
      <c r="Y34" s="27" t="str">
        <f>IF(DAY(DecSun1)=1,IF(AND(YEAR(DecSun1+28)=CalendarYear,MONTH(DecSun1+28)=12),DecSun1+28,""),IF(AND(YEAR(DecSun1+35)=CalendarYear,MONTH(DecSun1+35)=12),DecSun1+35,""))</f>
        <v/>
      </c>
    </row>
    <row r="35" spans="3:27" ht="15" customHeight="1" x14ac:dyDescent="0.2">
      <c r="C35" s="17" t="str">
        <f>IF(DAY(OctSun1)=1,IF(AND(YEAR(OctSun1+29)=CalendarYear,MONTH(OctSun1+29)=10),OctSun1+29,""),IF(AND(YEAR(OctSun1+36)=CalendarYear,MONTH(OctSun1+36)=10),OctSun1+36,""))</f>
        <v/>
      </c>
      <c r="D35" s="10" t="str">
        <f>IF(DAY(OctSun1)=1,IF(AND(YEAR(OctSun1+30)=CalendarYear,MONTH(OctSun1+30)=10),OctSun1+30,""),IF(AND(YEAR(OctSun1+37)=CalendarYear,MONTH(OctSun1+37)=10),OctSun1+37,""))</f>
        <v/>
      </c>
      <c r="E35" s="10" t="str">
        <f>IF(DAY(OctSun1)=1,IF(AND(YEAR(OctSun1+31)=CalendarYear,MONTH(OctSun1+31)=10),OctSun1+31,""),IF(AND(YEAR(OctSun1+38)=CalendarYear,MONTH(OctSun1+38)=10),OctSun1+38,""))</f>
        <v/>
      </c>
      <c r="F35" s="10" t="str">
        <f>IF(DAY(OctSun1)=1,IF(AND(YEAR(OctSun1+32)=CalendarYear,MONTH(OctSun1+32)=10),OctSun1+32,""),IF(AND(YEAR(OctSun1+39)=CalendarYear,MONTH(OctSun1+39)=10),OctSun1+39,""))</f>
        <v/>
      </c>
      <c r="G35" s="10" t="str">
        <f>IF(DAY(OctSun1)=1,IF(AND(YEAR(OctSun1+33)=CalendarYear,MONTH(OctSun1+33)=10),OctSun1+33,""),IF(AND(YEAR(OctSun1+40)=CalendarYear,MONTH(OctSun1+40)=10),OctSun1+40,""))</f>
        <v/>
      </c>
      <c r="H35" s="10" t="str">
        <f>IF(DAY(OctSun1)=1,IF(AND(YEAR(OctSun1+34)=CalendarYear,MONTH(OctSun1+34)=10),OctSun1+34,""),IF(AND(YEAR(OctSun1+41)=CalendarYear,MONTH(OctSun1+41)=10),OctSun1+41,""))</f>
        <v/>
      </c>
      <c r="I35" s="10" t="str">
        <f>IF(DAY(OctSun1)=1,IF(AND(YEAR(OctSun1+35)=CalendarYear,MONTH(OctSun1+35)=10),OctSun1+35,""),IF(AND(YEAR(OctSun1+42)=CalendarYear,MONTH(OctSun1+42)=10),OctSun1+42,""))</f>
        <v/>
      </c>
      <c r="J35" s="18"/>
      <c r="K35" s="10" t="str">
        <f>IF(DAY(NovSun1)=1,IF(AND(YEAR(NovSun1+29)=CalendarYear,MONTH(NovSun1+29)=11),NovSun1+29,""),IF(AND(YEAR(NovSun1+36)=CalendarYear,MONTH(NovSun1+36)=11),NovSun1+36,""))</f>
        <v/>
      </c>
      <c r="L35" s="10" t="str">
        <f>IF(DAY(NovSun1)=1,IF(AND(YEAR(NovSun1+30)=CalendarYear,MONTH(NovSun1+30)=11),NovSun1+30,""),IF(AND(YEAR(NovSun1+37)=CalendarYear,MONTH(NovSun1+37)=11),NovSun1+37,""))</f>
        <v/>
      </c>
      <c r="M35" s="10" t="str">
        <f>IF(DAY(NovSun1)=1,IF(AND(YEAR(NovSun1+31)=CalendarYear,MONTH(NovSun1+31)=11),NovSun1+31,""),IF(AND(YEAR(NovSun1+38)=CalendarYear,MONTH(NovSun1+38)=11),NovSun1+38,""))</f>
        <v/>
      </c>
      <c r="N35" s="10" t="str">
        <f>IF(DAY(NovSun1)=1,IF(AND(YEAR(NovSun1+32)=CalendarYear,MONTH(NovSun1+32)=11),NovSun1+32,""),IF(AND(YEAR(NovSun1+39)=CalendarYear,MONTH(NovSun1+39)=11),NovSun1+39,""))</f>
        <v/>
      </c>
      <c r="O35" s="10" t="str">
        <f>IF(DAY(NovSun1)=1,IF(AND(YEAR(NovSun1+33)=CalendarYear,MONTH(NovSun1+33)=11),NovSun1+33,""),IF(AND(YEAR(NovSun1+40)=CalendarYear,MONTH(NovSun1+40)=11),NovSun1+40,""))</f>
        <v/>
      </c>
      <c r="P35" s="10" t="str">
        <f>IF(DAY(NovSun1)=1,IF(AND(YEAR(NovSun1+34)=CalendarYear,MONTH(NovSun1+34)=11),NovSun1+34,""),IF(AND(YEAR(NovSun1+41)=CalendarYear,MONTH(NovSun1+41)=11),NovSun1+41,""))</f>
        <v/>
      </c>
      <c r="Q35" s="10" t="str">
        <f>IF(DAY(NovSun1)=1,IF(AND(YEAR(NovSun1+35)=CalendarYear,MONTH(NovSun1+35)=11),NovSun1+35,""),IF(AND(YEAR(NovSun1+42)=CalendarYear,MONTH(NovSun1+42)=11),NovSun1+42,""))</f>
        <v/>
      </c>
      <c r="R35" s="18"/>
      <c r="S35" s="10" t="str">
        <f>IF(DAY(DecSun1)=1,IF(AND(YEAR(DecSun1+29)=CalendarYear,MONTH(DecSun1+29)=12),DecSun1+29,""),IF(AND(YEAR(DecSun1+36)=CalendarYear,MONTH(DecSun1+36)=12),DecSun1+36,""))</f>
        <v/>
      </c>
      <c r="T35" s="10" t="str">
        <f>IF(DAY(DecSun1)=1,IF(AND(YEAR(DecSun1+30)=CalendarYear,MONTH(DecSun1+30)=12),DecSun1+30,""),IF(AND(YEAR(DecSun1+37)=CalendarYear,MONTH(DecSun1+37)=12),DecSun1+37,""))</f>
        <v/>
      </c>
      <c r="U35" s="10" t="str">
        <f>IF(DAY(DecSun1)=1,IF(AND(YEAR(DecSun1+31)=CalendarYear,MONTH(DecSun1+31)=12),DecSun1+31,""),IF(AND(YEAR(DecSun1+38)=CalendarYear,MONTH(DecSun1+38)=12),DecSun1+38,""))</f>
        <v/>
      </c>
      <c r="V35" s="10" t="str">
        <f>IF(DAY(DecSun1)=1,IF(AND(YEAR(DecSun1+32)=CalendarYear,MONTH(DecSun1+32)=12),DecSun1+32,""),IF(AND(YEAR(DecSun1+39)=CalendarYear,MONTH(DecSun1+39)=12),DecSun1+39,""))</f>
        <v/>
      </c>
      <c r="W35" s="10" t="str">
        <f>IF(DAY(DecSun1)=1,IF(AND(YEAR(DecSun1+33)=CalendarYear,MONTH(DecSun1+33)=12),DecSun1+33,""),IF(AND(YEAR(DecSun1+40)=CalendarYear,MONTH(DecSun1+40)=12),DecSun1+40,""))</f>
        <v/>
      </c>
      <c r="X35" s="10" t="str">
        <f>IF(DAY(DecSun1)=1,IF(AND(YEAR(DecSun1+34)=CalendarYear,MONTH(DecSun1+34)=12),DecSun1+34,""),IF(AND(YEAR(DecSun1+41)=CalendarYear,MONTH(DecSun1+41)=12),DecSun1+41,""))</f>
        <v/>
      </c>
      <c r="Y35" s="27" t="str">
        <f>IF(DAY(DecSun1)=1,IF(AND(YEAR(DecSun1+35)=CalendarYear,MONTH(DecSun1+35)=12),DecSun1+35,""),IF(AND(YEAR(DecSun1+42)=CalendarYear,MONTH(DecSun1+42)=12),DecSun1+42,""))</f>
        <v/>
      </c>
    </row>
    <row r="36" spans="3:27" ht="15" customHeight="1" x14ac:dyDescent="0.2">
      <c r="C36" s="19"/>
      <c r="D36" s="18"/>
      <c r="E36" s="18"/>
      <c r="F36" s="18"/>
      <c r="G36" s="18"/>
      <c r="H36" s="18"/>
      <c r="I36" s="18"/>
      <c r="J36" s="18"/>
      <c r="K36" s="2"/>
      <c r="L36" s="2"/>
      <c r="M36" s="2"/>
      <c r="N36" s="2"/>
      <c r="O36" s="2"/>
      <c r="P36" s="2"/>
      <c r="Q36" s="2"/>
      <c r="R36" s="18"/>
      <c r="S36" s="24"/>
      <c r="T36" s="24"/>
      <c r="U36" s="24"/>
      <c r="V36" s="18"/>
      <c r="W36" s="18"/>
      <c r="X36" s="18"/>
      <c r="Y36" s="25"/>
    </row>
    <row r="37" spans="3:27" x14ac:dyDescent="0.2">
      <c r="C37" s="78" t="s">
        <v>71</v>
      </c>
      <c r="D37" s="79"/>
      <c r="E37" s="79"/>
      <c r="F37" s="79"/>
      <c r="G37" s="79"/>
      <c r="H37" s="79"/>
      <c r="I37" s="79"/>
      <c r="J37" s="79"/>
      <c r="K37" s="79"/>
      <c r="L37" s="79"/>
      <c r="M37" s="79"/>
      <c r="N37" s="79"/>
      <c r="O37" s="79"/>
      <c r="P37" s="79"/>
      <c r="Q37" s="79"/>
      <c r="R37" s="79"/>
      <c r="S37" s="79"/>
      <c r="T37" s="79"/>
      <c r="U37" s="79"/>
      <c r="V37" s="79"/>
      <c r="W37" s="79"/>
      <c r="X37" s="79"/>
      <c r="Y37" s="80"/>
      <c r="Z37" s="67"/>
      <c r="AA37" s="67"/>
    </row>
    <row r="38" spans="3:27" ht="15" customHeight="1" x14ac:dyDescent="0.2">
      <c r="C38" s="78"/>
      <c r="D38" s="79"/>
      <c r="E38" s="79"/>
      <c r="F38" s="79"/>
      <c r="G38" s="79"/>
      <c r="H38" s="79"/>
      <c r="I38" s="79"/>
      <c r="J38" s="79"/>
      <c r="K38" s="79"/>
      <c r="L38" s="79"/>
      <c r="M38" s="79"/>
      <c r="N38" s="79"/>
      <c r="O38" s="79"/>
      <c r="P38" s="79"/>
      <c r="Q38" s="79"/>
      <c r="R38" s="79"/>
      <c r="S38" s="79"/>
      <c r="T38" s="79"/>
      <c r="U38" s="79"/>
      <c r="V38" s="79"/>
      <c r="W38" s="79"/>
      <c r="X38" s="79"/>
      <c r="Y38" s="80"/>
      <c r="Z38" s="67"/>
      <c r="AA38" s="67"/>
    </row>
    <row r="39" spans="3:27" ht="351" customHeight="1" x14ac:dyDescent="0.2">
      <c r="C39" s="81"/>
      <c r="D39" s="82"/>
      <c r="E39" s="82"/>
      <c r="F39" s="82"/>
      <c r="G39" s="82"/>
      <c r="H39" s="82"/>
      <c r="I39" s="82"/>
      <c r="J39" s="82"/>
      <c r="K39" s="82"/>
      <c r="L39" s="82"/>
      <c r="M39" s="82"/>
      <c r="N39" s="82"/>
      <c r="O39" s="82"/>
      <c r="P39" s="82"/>
      <c r="Q39" s="82"/>
      <c r="R39" s="82"/>
      <c r="S39" s="82"/>
      <c r="T39" s="82"/>
      <c r="U39" s="82"/>
      <c r="V39" s="82"/>
      <c r="W39" s="82"/>
      <c r="X39" s="82"/>
      <c r="Y39" s="83"/>
      <c r="Z39" s="67"/>
      <c r="AA39" s="67"/>
    </row>
    <row r="40" spans="3:27" ht="15" customHeight="1" x14ac:dyDescent="0.2"/>
    <row r="41" spans="3:27" ht="15" customHeight="1" x14ac:dyDescent="0.2">
      <c r="AA41" s="54"/>
    </row>
    <row r="42" spans="3:27" ht="15" customHeight="1" x14ac:dyDescent="0.2">
      <c r="AA42" s="54"/>
    </row>
    <row r="43" spans="3:27" ht="15" customHeight="1" x14ac:dyDescent="0.2"/>
    <row r="44" spans="3:27" ht="15" customHeight="1" x14ac:dyDescent="0.2"/>
    <row r="45" spans="3:27" ht="15" customHeight="1" x14ac:dyDescent="0.2"/>
    <row r="46" spans="3:27" ht="15" customHeight="1" x14ac:dyDescent="0.2"/>
    <row r="47" spans="3:27" ht="15" customHeight="1" x14ac:dyDescent="0.2"/>
    <row r="48" spans="3:27" ht="15" customHeight="1" x14ac:dyDescent="0.2"/>
    <row r="49" ht="15" customHeight="1" x14ac:dyDescent="0.2"/>
  </sheetData>
  <mergeCells count="20">
    <mergeCell ref="C37:Y39"/>
    <mergeCell ref="AA30:AA31"/>
    <mergeCell ref="AA20:AB28"/>
    <mergeCell ref="AA7:AA12"/>
    <mergeCell ref="AA4:AA5"/>
    <mergeCell ref="C28:I28"/>
    <mergeCell ref="K28:Q28"/>
    <mergeCell ref="S28:Y28"/>
    <mergeCell ref="S4:Y4"/>
    <mergeCell ref="C12:I12"/>
    <mergeCell ref="K12:Q12"/>
    <mergeCell ref="S12:Y12"/>
    <mergeCell ref="C20:I20"/>
    <mergeCell ref="K20:Q20"/>
    <mergeCell ref="AA14:AA18"/>
    <mergeCell ref="C2:T2"/>
    <mergeCell ref="V2:Y2"/>
    <mergeCell ref="C4:I4"/>
    <mergeCell ref="K4:Q4"/>
    <mergeCell ref="S20:Y20"/>
  </mergeCells>
  <phoneticPr fontId="3" type="noConversion"/>
  <dataValidations disablePrompts="1" count="1">
    <dataValidation allowBlank="1" showInputMessage="1" showErrorMessage="1" errorTitle="Invalid Year" error="Enter a year from 1900 to 9999, or use the scroll bar to find a year." sqref="V2" xr:uid="{00000000-0002-0000-0000-000000000000}"/>
  </dataValidations>
  <printOptions horizontalCentered="1" verticalCentered="1"/>
  <pageMargins left="0.5" right="0.5" top="0.5" bottom="0.5" header="0.3" footer="0.3"/>
  <pageSetup paperSize="9" orientation="portrait" r:id="rId1"/>
  <drawing r:id="rId2"/>
  <tableParts count="12">
    <tablePart r:id="rId3"/>
    <tablePart r:id="rId4"/>
    <tablePart r:id="rId5"/>
    <tablePart r:id="rId6"/>
    <tablePart r:id="rId7"/>
    <tablePart r:id="rId8"/>
    <tablePart r:id="rId9"/>
    <tablePart r:id="rId10"/>
    <tablePart r:id="rId11"/>
    <tablePart r:id="rId12"/>
    <tablePart r:id="rId13"/>
    <tablePart r:id="rId1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E8DE1-B846-46CA-9919-42A561D2460B}">
  <sheetPr>
    <tabColor rgb="FF0092F9"/>
    <pageSetUpPr fitToPage="1"/>
  </sheetPr>
  <dimension ref="A1:AJ49"/>
  <sheetViews>
    <sheetView showGridLines="0" zoomScaleNormal="100" workbookViewId="0">
      <selection activeCell="AA14" sqref="AA14:AA17"/>
    </sheetView>
  </sheetViews>
  <sheetFormatPr defaultColWidth="9.5" defaultRowHeight="11.25" x14ac:dyDescent="0.2"/>
  <cols>
    <col min="1" max="1" width="2.5" style="7" customWidth="1"/>
    <col min="2" max="2" width="5.1640625" style="1" customWidth="1"/>
    <col min="3" max="18" width="4.33203125" style="1" customWidth="1"/>
    <col min="19" max="21" width="4.33203125" customWidth="1"/>
    <col min="22" max="24" width="4.33203125" style="1" customWidth="1"/>
    <col min="25" max="25" width="4.33203125" customWidth="1"/>
    <col min="27" max="27" width="69.33203125" style="1" customWidth="1"/>
    <col min="28" max="28" width="10.5" style="1" bestFit="1" customWidth="1"/>
    <col min="29" max="37" width="9.33203125" style="1" customWidth="1"/>
    <col min="38" max="38" width="9.5" style="1" customWidth="1"/>
    <col min="39" max="16384" width="9.5" style="1"/>
  </cols>
  <sheetData>
    <row r="1" spans="1:36" x14ac:dyDescent="0.2">
      <c r="AA1" s="54"/>
      <c r="AB1" s="54"/>
    </row>
    <row r="2" spans="1:36" ht="39.75" customHeight="1" x14ac:dyDescent="0.2">
      <c r="A2" s="5"/>
      <c r="C2" s="71" t="s">
        <v>67</v>
      </c>
      <c r="D2" s="72"/>
      <c r="E2" s="72"/>
      <c r="F2" s="72"/>
      <c r="G2" s="72"/>
      <c r="H2" s="72"/>
      <c r="I2" s="72"/>
      <c r="J2" s="72"/>
      <c r="K2" s="72"/>
      <c r="L2" s="72"/>
      <c r="M2" s="72"/>
      <c r="N2" s="72"/>
      <c r="O2" s="72"/>
      <c r="P2" s="72"/>
      <c r="Q2" s="72"/>
      <c r="R2" s="72"/>
      <c r="S2" s="72"/>
      <c r="T2" s="72"/>
      <c r="U2" s="28"/>
      <c r="V2" s="73">
        <v>2026</v>
      </c>
      <c r="W2" s="73"/>
      <c r="X2" s="73"/>
      <c r="Y2" s="74"/>
      <c r="AA2"/>
      <c r="AB2"/>
    </row>
    <row r="3" spans="1:36" ht="15" customHeight="1" x14ac:dyDescent="0.2">
      <c r="A3" s="6"/>
      <c r="C3" s="52"/>
      <c r="D3" s="15"/>
      <c r="E3" s="15"/>
      <c r="F3" s="15"/>
      <c r="G3" s="15"/>
      <c r="H3" s="15"/>
      <c r="I3" s="15"/>
      <c r="J3" s="15"/>
      <c r="K3" s="2"/>
      <c r="L3" s="2"/>
      <c r="M3" s="2"/>
      <c r="N3" s="2"/>
      <c r="O3" s="2"/>
      <c r="P3" s="2"/>
      <c r="Q3" s="2"/>
      <c r="R3" s="2"/>
      <c r="S3" s="24"/>
      <c r="T3" s="24"/>
      <c r="U3" s="24"/>
      <c r="V3" s="18"/>
      <c r="W3" s="18"/>
      <c r="X3" s="18"/>
      <c r="Y3" s="25"/>
      <c r="AA3" s="31" t="s">
        <v>19</v>
      </c>
      <c r="AB3" s="32"/>
    </row>
    <row r="4" spans="1:36" ht="15" customHeight="1" x14ac:dyDescent="0.25">
      <c r="B4" s="2"/>
      <c r="C4" s="75" t="s">
        <v>0</v>
      </c>
      <c r="D4" s="76"/>
      <c r="E4" s="76"/>
      <c r="F4" s="76"/>
      <c r="G4" s="76"/>
      <c r="H4" s="76"/>
      <c r="I4" s="76"/>
      <c r="J4" s="20"/>
      <c r="K4" s="76" t="s">
        <v>13</v>
      </c>
      <c r="L4" s="76"/>
      <c r="M4" s="76"/>
      <c r="N4" s="76"/>
      <c r="O4" s="76"/>
      <c r="P4" s="76"/>
      <c r="Q4" s="76"/>
      <c r="R4" s="2"/>
      <c r="S4" s="76" t="s">
        <v>2</v>
      </c>
      <c r="T4" s="76"/>
      <c r="U4" s="76"/>
      <c r="V4" s="76"/>
      <c r="W4" s="76"/>
      <c r="X4" s="76"/>
      <c r="Y4" s="77"/>
      <c r="AA4" s="85" t="s">
        <v>22</v>
      </c>
      <c r="AB4" s="14"/>
      <c r="AC4" s="2"/>
      <c r="AD4" s="2"/>
      <c r="AE4" s="2"/>
      <c r="AF4" s="2"/>
      <c r="AG4" s="2"/>
      <c r="AH4" s="2"/>
      <c r="AI4" s="2"/>
      <c r="AJ4" s="2"/>
    </row>
    <row r="5" spans="1:36" ht="15" customHeight="1" x14ac:dyDescent="0.2">
      <c r="A5" s="6"/>
      <c r="B5" s="2"/>
      <c r="C5" s="16" t="s">
        <v>1</v>
      </c>
      <c r="D5" s="4" t="s">
        <v>7</v>
      </c>
      <c r="E5" s="4" t="s">
        <v>8</v>
      </c>
      <c r="F5" s="4" t="s">
        <v>9</v>
      </c>
      <c r="G5" s="4" t="s">
        <v>10</v>
      </c>
      <c r="H5" s="4" t="s">
        <v>11</v>
      </c>
      <c r="I5" s="4" t="s">
        <v>12</v>
      </c>
      <c r="J5" s="8"/>
      <c r="K5" s="4" t="s">
        <v>1</v>
      </c>
      <c r="L5" s="4" t="s">
        <v>7</v>
      </c>
      <c r="M5" s="4" t="s">
        <v>8</v>
      </c>
      <c r="N5" s="4" t="s">
        <v>9</v>
      </c>
      <c r="O5" s="4" t="s">
        <v>10</v>
      </c>
      <c r="P5" s="4" t="s">
        <v>11</v>
      </c>
      <c r="Q5" s="4" t="s">
        <v>12</v>
      </c>
      <c r="R5" s="2"/>
      <c r="S5" s="4" t="s">
        <v>1</v>
      </c>
      <c r="T5" s="4" t="s">
        <v>7</v>
      </c>
      <c r="U5" s="4" t="s">
        <v>8</v>
      </c>
      <c r="V5" s="4" t="s">
        <v>9</v>
      </c>
      <c r="W5" s="4" t="s">
        <v>10</v>
      </c>
      <c r="X5" s="4" t="s">
        <v>11</v>
      </c>
      <c r="Y5" s="26" t="s">
        <v>12</v>
      </c>
      <c r="AA5" s="88"/>
      <c r="AB5" s="14"/>
      <c r="AJ5" s="2"/>
    </row>
    <row r="6" spans="1:36" ht="15" customHeight="1" x14ac:dyDescent="0.2">
      <c r="A6" s="6"/>
      <c r="B6" s="2"/>
      <c r="C6" s="17" t="str">
        <f>IF(DAY(JanSun1)=1,"",IF(AND(YEAR(JanSun1+1)=CalendarYear,MONTH(JanSun1+1)=1),JanSun1+1,""))</f>
        <v/>
      </c>
      <c r="D6" s="10" t="str">
        <f>IF(DAY(JanSun1)=1,"",IF(AND(YEAR(JanSun1+1)=CalendarYear,MONTH(JanSun1+1)=1),JanSun1+1,""))</f>
        <v/>
      </c>
      <c r="E6" s="10" t="str">
        <f>IF(DAY(JanSun1)=1,"",IF(AND(YEAR(JanSun1+3)=CalendarYear,MONTH(JanSun1+3)=1),JanSun1+3,""))</f>
        <v/>
      </c>
      <c r="F6" s="10">
        <f>IF(DAY(JanSun1)=1,"",IF(AND(YEAR(JanSun1+4)=CalendarYear,MONTH(JanSun1+4)=1),JanSun1+4,""))</f>
        <v>46023</v>
      </c>
      <c r="G6" s="23">
        <f>IF(DAY(JanSun1)=1,"",IF(AND(YEAR(JanSun1+5)=CalendarYear,MONTH(JanSun1+5)=1),JanSun1+5,""))</f>
        <v>46024</v>
      </c>
      <c r="H6" s="10">
        <f>IF(DAY(JanSun1)=1,"",IF(AND(YEAR(JanSun1+6)=CalendarYear,MONTH(JanSun1+6)=1),JanSun1+6,""))</f>
        <v>46025</v>
      </c>
      <c r="I6" s="10">
        <f>IF(DAY(JanSun1)=1,IF(AND(YEAR(JanSun1)=CalendarYear,MONTH(JanSun1)=1),JanSun1,""),IF(AND(YEAR(JanSun1+7)=CalendarYear,MONTH(JanSun1+7)=1),JanSun1+7,""))</f>
        <v>46026</v>
      </c>
      <c r="J6" s="10"/>
      <c r="K6" s="10" t="str">
        <f>IF(DAY(FebSun1)=1,"",IF(AND(YEAR(FebSun1+1)=CalendarYear,MONTH(FebSun1+1)=2),FebSun1+1,""))</f>
        <v/>
      </c>
      <c r="L6" s="10" t="str">
        <f>IF(DAY(FebSun1)=1,"",IF(AND(YEAR(FebSun1+2)=CalendarYear,MONTH(FebSun1+2)=2),FebSun1+2,""))</f>
        <v/>
      </c>
      <c r="M6" s="10" t="str">
        <f>IF(DAY(FebSun1)=1,"",IF(AND(YEAR(FebSun1+3)=CalendarYear,MONTH(FebSun1+3)=2),FebSun1+3,""))</f>
        <v/>
      </c>
      <c r="N6" s="10" t="str">
        <f>IF(DAY(FebSun1)=1,"",IF(AND(YEAR(FebSun1+4)=CalendarYear,MONTH(FebSun1+4)=2),FebSun1+4,""))</f>
        <v/>
      </c>
      <c r="O6" s="10" t="str">
        <f>IF(DAY(FebSun1)=1,"",IF(AND(YEAR(FebSun1+5)=CalendarYear,MONTH(FebSun1+5)=2),FebSun1+5,""))</f>
        <v/>
      </c>
      <c r="P6" s="10" t="str">
        <f>IF(DAY(FebSun1)=1,"",IF(AND(YEAR(FebSun1+6)=CalendarYear,MONTH(FebSun1+6)=2),FebSun1+6,""))</f>
        <v/>
      </c>
      <c r="Q6" s="10">
        <f>IF(DAY(FebSun1)=1,IF(AND(YEAR(FebSun1)=CalendarYear,MONTH(FebSun1)=2),FebSun1,""),IF(AND(YEAR(FebSun1+7)=CalendarYear,MONTH(FebSun1+7)=2),FebSun1+7,""))</f>
        <v>46054</v>
      </c>
      <c r="R6" s="2"/>
      <c r="S6" s="10" t="str">
        <f>IF(DAY(MarSun1)=1,"",IF(AND(YEAR(MarSun1+1)=CalendarYear,MONTH(MarSun1+1)=3),MarSun1+1,""))</f>
        <v/>
      </c>
      <c r="T6" s="10" t="str">
        <f>IF(DAY(MarSun1)=1,"",IF(AND(YEAR(MarSun1+2)=CalendarYear,MONTH(MarSun1+2)=3),MarSun1+2,""))</f>
        <v/>
      </c>
      <c r="U6" s="10" t="str">
        <f>IF(DAY(MarSun1)=1,"",IF(AND(YEAR(MarSun1+3)=CalendarYear,MONTH(MarSun1+3)=3),MarSun1+3,""))</f>
        <v/>
      </c>
      <c r="V6" s="10" t="str">
        <f>IF(DAY(MarSun1)=1,"",IF(AND(YEAR(MarSun1+4)=CalendarYear,MONTH(MarSun1+4)=3),MarSun1+4,""))</f>
        <v/>
      </c>
      <c r="W6" s="10" t="str">
        <f>IF(DAY(MarSun1)=1,"",IF(AND(YEAR(MarSun1+5)=CalendarYear,MONTH(MarSun1+5)=3),MarSun1+5,""))</f>
        <v/>
      </c>
      <c r="X6" s="10" t="str">
        <f>IF(DAY(MarSun1)=1,"",IF(AND(YEAR(MarSun1+6)=CalendarYear,MONTH(MarSun1+6)=3),MarSun1+6,""))</f>
        <v/>
      </c>
      <c r="Y6" s="27">
        <f>IF(DAY(MarSun1)=1,IF(AND(YEAR(MarSun1)=CalendarYear,MONTH(MarSun1)=3),MarSun1,""),IF(AND(YEAR(MarSun1+7)=CalendarYear,MONTH(MarSun1+7)=3),MarSun1+7,""))</f>
        <v>46082</v>
      </c>
      <c r="AA6" s="31" t="s">
        <v>20</v>
      </c>
      <c r="AB6" s="33"/>
      <c r="AJ6" s="2"/>
    </row>
    <row r="7" spans="1:36" ht="15" customHeight="1" x14ac:dyDescent="0.2">
      <c r="A7" s="6"/>
      <c r="B7" s="2"/>
      <c r="C7" s="17">
        <f>IF(DAY(JanSun1)=1,IF(AND(YEAR(JanSun1+1)=CalendarYear,MONTH(JanSun1+1)=1),JanSun1+1,""),IF(AND(YEAR(JanSun1+8)=CalendarYear,MONTH(JanSun1+8)=1),JanSun1+8,""))</f>
        <v>46027</v>
      </c>
      <c r="D7" s="10">
        <f>IF(DAY(JanSun1)=1,IF(AND(YEAR(JanSun1+2)=CalendarYear,MONTH(JanSun1+2)=1),JanSun1+2,""),IF(AND(YEAR(JanSun1+9)=CalendarYear,MONTH(JanSun1+9)=1),JanSun1+9,""))</f>
        <v>46028</v>
      </c>
      <c r="E7" s="10">
        <f>IF(DAY(JanSun1)=1,IF(AND(YEAR(JanSun1+3)=CalendarYear,MONTH(JanSun1+3)=1),JanSun1+3,""),IF(AND(YEAR(JanSun1+10)=CalendarYear,MONTH(JanSun1+10)=1),JanSun1+10,""))</f>
        <v>46029</v>
      </c>
      <c r="F7" s="10">
        <f>IF(DAY(JanSun1)=1,IF(AND(YEAR(JanSun1+4)=CalendarYear,MONTH(JanSun1+4)=1),JanSun1+4,""),IF(AND(YEAR(JanSun1+11)=CalendarYear,MONTH(JanSun1+11)=1),JanSun1+11,""))</f>
        <v>46030</v>
      </c>
      <c r="G7" s="10">
        <f>IF(DAY(JanSun1)=1,IF(AND(YEAR(JanSun1+5)=CalendarYear,MONTH(JanSun1+5)=1),JanSun1+5,""),IF(AND(YEAR(JanSun1+12)=CalendarYear,MONTH(JanSun1+12)=1),JanSun1+12,""))</f>
        <v>46031</v>
      </c>
      <c r="H7" s="10">
        <f>IF(DAY(JanSun1)=1,IF(AND(YEAR(JanSun1+6)=CalendarYear,MONTH(JanSun1+6)=1),JanSun1+6,""),IF(AND(YEAR(JanSun1+13)=CalendarYear,MONTH(JanSun1+13)=1),JanSun1+13,""))</f>
        <v>46032</v>
      </c>
      <c r="I7" s="10">
        <f>IF(DAY(JanSun1)=1,IF(AND(YEAR(JanSun1+7)=CalendarYear,MONTH(JanSun1+7)=1),JanSun1+7,""),IF(AND(YEAR(JanSun1+14)=CalendarYear,MONTH(JanSun1+14)=1),JanSun1+14,""))</f>
        <v>46033</v>
      </c>
      <c r="J7" s="10"/>
      <c r="K7" s="10">
        <f>IF(DAY(FebSun1)=1,IF(AND(YEAR(FebSun1+1)=CalendarYear,MONTH(FebSun1+1)=2),FebSun1+1,""),IF(AND(YEAR(FebSun1+8)=CalendarYear,MONTH(FebSun1+8)=2),FebSun1+8,""))</f>
        <v>46055</v>
      </c>
      <c r="L7" s="10">
        <f>IF(DAY(FebSun1)=1,IF(AND(YEAR(FebSun1+2)=CalendarYear,MONTH(FebSun1+2)=2),FebSun1+2,""),IF(AND(YEAR(FebSun1+9)=CalendarYear,MONTH(FebSun1+9)=2),FebSun1+9,""))</f>
        <v>46056</v>
      </c>
      <c r="M7" s="10">
        <f>IF(DAY(FebSun1)=1,IF(AND(YEAR(FebSun1+3)=CalendarYear,MONTH(FebSun1+3)=2),FebSun1+3,""),IF(AND(YEAR(FebSun1+10)=CalendarYear,MONTH(FebSun1+10)=2),FebSun1+10,""))</f>
        <v>46057</v>
      </c>
      <c r="N7" s="10">
        <f>IF(DAY(FebSun1)=1,IF(AND(YEAR(FebSun1+4)=CalendarYear,MONTH(FebSun1+4)=2),FebSun1+4,""),IF(AND(YEAR(FebSun1+11)=CalendarYear,MONTH(FebSun1+11)=2),FebSun1+11,""))</f>
        <v>46058</v>
      </c>
      <c r="O7" s="10">
        <f>IF(DAY(FebSun1)=1,IF(AND(YEAR(FebSun1+5)=CalendarYear,MONTH(FebSun1+5)=2),FebSun1+5,""),IF(AND(YEAR(FebSun1+12)=CalendarYear,MONTH(FebSun1+12)=2),FebSun1+12,""))</f>
        <v>46059</v>
      </c>
      <c r="P7" s="10">
        <f>IF(DAY(FebSun1)=1,IF(AND(YEAR(FebSun1+6)=CalendarYear,MONTH(FebSun1+6)=2),FebSun1+6,""),IF(AND(YEAR(FebSun1+13)=CalendarYear,MONTH(FebSun1+13)=2),FebSun1+13,""))</f>
        <v>46060</v>
      </c>
      <c r="Q7" s="10">
        <f>IF(DAY(FebSun1)=1,IF(AND(YEAR(FebSun1+7)=CalendarYear,MONTH(FebSun1+7)=2),FebSun1+7,""),IF(AND(YEAR(FebSun1+14)=CalendarYear,MONTH(FebSun1+14)=2),FebSun1+14,""))</f>
        <v>46061</v>
      </c>
      <c r="R7" s="2"/>
      <c r="S7" s="10">
        <f>IF(DAY(MarSun1)=1,IF(AND(YEAR(MarSun1+1)=CalendarYear,MONTH(MarSun1+1)=3),MarSun1+1,""),IF(AND(YEAR(MarSun1+8)=CalendarYear,MONTH(MarSun1+8)=3),MarSun1+8,""))</f>
        <v>46083</v>
      </c>
      <c r="T7" s="10">
        <f>IF(DAY(MarSun1)=1,IF(AND(YEAR(MarSun1+2)=CalendarYear,MONTH(MarSun1+2)=3),MarSun1+2,""),IF(AND(YEAR(MarSun1+9)=CalendarYear,MONTH(MarSun1+9)=3),MarSun1+9,""))</f>
        <v>46084</v>
      </c>
      <c r="U7" s="10">
        <f>IF(DAY(MarSun1)=1,IF(AND(YEAR(MarSun1+3)=CalendarYear,MONTH(MarSun1+3)=3),MarSun1+3,""),IF(AND(YEAR(MarSun1+10)=CalendarYear,MONTH(MarSun1+10)=3),MarSun1+10,""))</f>
        <v>46085</v>
      </c>
      <c r="V7" s="10">
        <f>IF(DAY(MarSun1)=1,IF(AND(YEAR(MarSun1+4)=CalendarYear,MONTH(MarSun1+4)=3),MarSun1+4,""),IF(AND(YEAR(MarSun1+11)=CalendarYear,MONTH(MarSun1+11)=3),MarSun1+11,""))</f>
        <v>46086</v>
      </c>
      <c r="W7" s="10">
        <f>IF(DAY(MarSun1)=1,IF(AND(YEAR(MarSun1+5)=CalendarYear,MONTH(MarSun1+5)=3),MarSun1+5,""),IF(AND(YEAR(MarSun1+12)=CalendarYear,MONTH(MarSun1+12)=3),MarSun1+12,""))</f>
        <v>46087</v>
      </c>
      <c r="X7" s="10">
        <f>IF(DAY(MarSun1)=1,IF(AND(YEAR(MarSun1+6)=CalendarYear,MONTH(MarSun1+6)=3),MarSun1+6,""),IF(AND(YEAR(MarSun1+13)=CalendarYear,MONTH(MarSun1+13)=3),MarSun1+13,""))</f>
        <v>46088</v>
      </c>
      <c r="Y7" s="27">
        <f>IF(DAY(MarSun1)=1,IF(AND(YEAR(MarSun1+7)=CalendarYear,MONTH(MarSun1+7)=3),MarSun1+7,""),IF(AND(YEAR(MarSun1+14)=CalendarYear,MONTH(MarSun1+14)=3),MarSun1+14,""))</f>
        <v>46089</v>
      </c>
      <c r="AA7" s="86" t="s">
        <v>21</v>
      </c>
      <c r="AJ7" s="2"/>
    </row>
    <row r="8" spans="1:36" ht="15" customHeight="1" x14ac:dyDescent="0.2">
      <c r="B8" s="2"/>
      <c r="C8" s="17">
        <f>IF(DAY(JanSun1)=1,IF(AND(YEAR(JanSun1+8)=CalendarYear,MONTH(JanSun1+8)=1),JanSun1+8,""),IF(AND(YEAR(JanSun1+15)=CalendarYear,MONTH(JanSun1+15)=1),JanSun1+15,""))</f>
        <v>46034</v>
      </c>
      <c r="D8" s="10">
        <f>IF(DAY(JanSun1)=1,IF(AND(YEAR(JanSun1+9)=CalendarYear,MONTH(JanSun1+9)=1),JanSun1+9,""),IF(AND(YEAR(JanSun1+16)=CalendarYear,MONTH(JanSun1+16)=1),JanSun1+16,""))</f>
        <v>46035</v>
      </c>
      <c r="E8" s="10">
        <f>IF(DAY(JanSun1)=1,IF(AND(YEAR(JanSun1+10)=CalendarYear,MONTH(JanSun1+10)=1),JanSun1+10,""),IF(AND(YEAR(JanSun1+17)=CalendarYear,MONTH(JanSun1+17)=1),JanSun1+17,""))</f>
        <v>46036</v>
      </c>
      <c r="F8" s="10">
        <f>IF(DAY(JanSun1)=1,IF(AND(YEAR(JanSun1+11)=CalendarYear,MONTH(JanSun1+11)=1),JanSun1+11,""),IF(AND(YEAR(JanSun1+18)=CalendarYear,MONTH(JanSun1+18)=1),JanSun1+18,""))</f>
        <v>46037</v>
      </c>
      <c r="G8" s="10">
        <f>IF(DAY(JanSun1)=1,IF(AND(YEAR(JanSun1+12)=CalendarYear,MONTH(JanSun1+12)=1),JanSun1+12,""),IF(AND(YEAR(JanSun1+19)=CalendarYear,MONTH(JanSun1+19)=1),JanSun1+19,""))</f>
        <v>46038</v>
      </c>
      <c r="H8" s="10">
        <f>IF(DAY(JanSun1)=1,IF(AND(YEAR(JanSun1+13)=CalendarYear,MONTH(JanSun1+13)=1),JanSun1+13,""),IF(AND(YEAR(JanSun1+20)=CalendarYear,MONTH(JanSun1+20)=1),JanSun1+20,""))</f>
        <v>46039</v>
      </c>
      <c r="I8" s="10">
        <f>IF(DAY(JanSun1)=1,IF(AND(YEAR(JanSun1+14)=CalendarYear,MONTH(JanSun1+14)=1),JanSun1+14,""),IF(AND(YEAR(JanSun1+21)=CalendarYear,MONTH(JanSun1+21)=1),JanSun1+21,""))</f>
        <v>46040</v>
      </c>
      <c r="J8" s="10"/>
      <c r="K8" s="10">
        <f>IF(DAY(FebSun1)=1,IF(AND(YEAR(FebSun1+8)=CalendarYear,MONTH(FebSun1+8)=2),FebSun1+8,""),IF(AND(YEAR(FebSun1+15)=CalendarYear,MONTH(FebSun1+15)=2),FebSun1+15,""))</f>
        <v>46062</v>
      </c>
      <c r="L8" s="10">
        <f>IF(DAY(FebSun1)=1,IF(AND(YEAR(FebSun1+9)=CalendarYear,MONTH(FebSun1+9)=2),FebSun1+9,""),IF(AND(YEAR(FebSun1+16)=CalendarYear,MONTH(FebSun1+16)=2),FebSun1+16,""))</f>
        <v>46063</v>
      </c>
      <c r="M8" s="10">
        <f>IF(DAY(FebSun1)=1,IF(AND(YEAR(FebSun1+10)=CalendarYear,MONTH(FebSun1+10)=2),FebSun1+10,""),IF(AND(YEAR(FebSun1+17)=CalendarYear,MONTH(FebSun1+17)=2),FebSun1+17,""))</f>
        <v>46064</v>
      </c>
      <c r="N8" s="10">
        <f>IF(DAY(FebSun1)=1,IF(AND(YEAR(FebSun1+11)=CalendarYear,MONTH(FebSun1+11)=2),FebSun1+11,""),IF(AND(YEAR(FebSun1+18)=CalendarYear,MONTH(FebSun1+18)=2),FebSun1+18,""))</f>
        <v>46065</v>
      </c>
      <c r="O8" s="10">
        <f>IF(DAY(FebSun1)=1,IF(AND(YEAR(FebSun1+12)=CalendarYear,MONTH(FebSun1+12)=2),FebSun1+12,""),IF(AND(YEAR(FebSun1+19)=CalendarYear,MONTH(FebSun1+19)=2),FebSun1+19,""))</f>
        <v>46066</v>
      </c>
      <c r="P8" s="10">
        <f>IF(DAY(FebSun1)=1,IF(AND(YEAR(FebSun1+13)=CalendarYear,MONTH(FebSun1+13)=2),FebSun1+13,""),IF(AND(YEAR(FebSun1+20)=CalendarYear,MONTH(FebSun1+20)=2),FebSun1+20,""))</f>
        <v>46067</v>
      </c>
      <c r="Q8" s="10">
        <f>IF(DAY(FebSun1)=1,IF(AND(YEAR(FebSun1+14)=CalendarYear,MONTH(FebSun1+14)=2),FebSun1+14,""),IF(AND(YEAR(FebSun1+21)=CalendarYear,MONTH(FebSun1+21)=2),FebSun1+21,""))</f>
        <v>46068</v>
      </c>
      <c r="R8" s="2"/>
      <c r="S8" s="10">
        <f>IF(DAY(MarSun1)=1,IF(AND(YEAR(MarSun1+8)=CalendarYear,MONTH(MarSun1+8)=3),MarSun1+8,""),IF(AND(YEAR(MarSun1+15)=CalendarYear,MONTH(MarSun1+15)=3),MarSun1+15,""))</f>
        <v>46090</v>
      </c>
      <c r="T8" s="10">
        <f>IF(DAY(MarSun1)=1,IF(AND(YEAR(MarSun1+9)=CalendarYear,MONTH(MarSun1+9)=3),MarSun1+9,""),IF(AND(YEAR(MarSun1+16)=CalendarYear,MONTH(MarSun1+16)=3),MarSun1+16,""))</f>
        <v>46091</v>
      </c>
      <c r="U8" s="10">
        <f>IF(DAY(MarSun1)=1,IF(AND(YEAR(MarSun1+10)=CalendarYear,MONTH(MarSun1+10)=3),MarSun1+10,""),IF(AND(YEAR(MarSun1+17)=CalendarYear,MONTH(MarSun1+17)=3),MarSun1+17,""))</f>
        <v>46092</v>
      </c>
      <c r="V8" s="10">
        <f>IF(DAY(MarSun1)=1,IF(AND(YEAR(MarSun1+11)=CalendarYear,MONTH(MarSun1+11)=3),MarSun1+11,""),IF(AND(YEAR(MarSun1+18)=CalendarYear,MONTH(MarSun1+18)=3),MarSun1+18,""))</f>
        <v>46093</v>
      </c>
      <c r="W8" s="10">
        <f>IF(DAY(MarSun1)=1,IF(AND(YEAR(MarSun1+12)=CalendarYear,MONTH(MarSun1+12)=3),MarSun1+12,""),IF(AND(YEAR(MarSun1+19)=CalendarYear,MONTH(MarSun1+19)=3),MarSun1+19,""))</f>
        <v>46094</v>
      </c>
      <c r="X8" s="10">
        <f>IF(DAY(MarSun1)=1,IF(AND(YEAR(MarSun1+13)=CalendarYear,MONTH(MarSun1+13)=3),MarSun1+13,""),IF(AND(YEAR(MarSun1+20)=CalendarYear,MONTH(MarSun1+20)=3),MarSun1+20,""))</f>
        <v>46095</v>
      </c>
      <c r="Y8" s="27">
        <f>IF(DAY(MarSun1)=1,IF(AND(YEAR(MarSun1+14)=CalendarYear,MONTH(MarSun1+14)=3),MarSun1+14,""),IF(AND(YEAR(MarSun1+21)=CalendarYear,MONTH(MarSun1+21)=3),MarSun1+21,""))</f>
        <v>46096</v>
      </c>
      <c r="AA8" s="87"/>
      <c r="AJ8" s="2"/>
    </row>
    <row r="9" spans="1:36" ht="15" customHeight="1" x14ac:dyDescent="0.2">
      <c r="B9" s="2"/>
      <c r="C9" s="17">
        <f>IF(DAY(JanSun1)=1,IF(AND(YEAR(JanSun1+15)=CalendarYear,MONTH(JanSun1+15)=1),JanSun1+15,""),IF(AND(YEAR(JanSun1+22)=CalendarYear,MONTH(JanSun1+22)=1),JanSun1+22,""))</f>
        <v>46041</v>
      </c>
      <c r="D9" s="10">
        <f>IF(DAY(JanSun1)=1,IF(AND(YEAR(JanSun1+16)=CalendarYear,MONTH(JanSun1+16)=1),JanSun1+16,""),IF(AND(YEAR(JanSun1+23)=CalendarYear,MONTH(JanSun1+23)=1),JanSun1+23,""))</f>
        <v>46042</v>
      </c>
      <c r="E9" s="10">
        <f>IF(DAY(JanSun1)=1,IF(AND(YEAR(JanSun1+17)=CalendarYear,MONTH(JanSun1+17)=1),JanSun1+17,""),IF(AND(YEAR(JanSun1+24)=CalendarYear,MONTH(JanSun1+24)=1),JanSun1+24,""))</f>
        <v>46043</v>
      </c>
      <c r="F9" s="10">
        <f>IF(DAY(JanSun1)=1,IF(AND(YEAR(JanSun1+18)=CalendarYear,MONTH(JanSun1+18)=1),JanSun1+18,""),IF(AND(YEAR(JanSun1+25)=CalendarYear,MONTH(JanSun1+25)=1),JanSun1+25,""))</f>
        <v>46044</v>
      </c>
      <c r="G9" s="10">
        <f>IF(DAY(JanSun1)=1,IF(AND(YEAR(JanSun1+19)=CalendarYear,MONTH(JanSun1+19)=1),JanSun1+19,""),IF(AND(YEAR(JanSun1+26)=CalendarYear,MONTH(JanSun1+26)=1),JanSun1+26,""))</f>
        <v>46045</v>
      </c>
      <c r="H9" s="10">
        <f>IF(DAY(JanSun1)=1,IF(AND(YEAR(JanSun1+20)=CalendarYear,MONTH(JanSun1+20)=1),JanSun1+20,""),IF(AND(YEAR(JanSun1+27)=CalendarYear,MONTH(JanSun1+27)=1),JanSun1+27,""))</f>
        <v>46046</v>
      </c>
      <c r="I9" s="10">
        <f>IF(DAY(JanSun1)=1,IF(AND(YEAR(JanSun1+21)=CalendarYear,MONTH(JanSun1+21)=1),JanSun1+21,""),IF(AND(YEAR(JanSun1+28)=CalendarYear,MONTH(JanSun1+28)=1),JanSun1+28,""))</f>
        <v>46047</v>
      </c>
      <c r="J9" s="10"/>
      <c r="K9" s="10">
        <f>IF(DAY(FebSun1)=1,IF(AND(YEAR(FebSun1+15)=CalendarYear,MONTH(FebSun1+15)=2),FebSun1+15,""),IF(AND(YEAR(FebSun1+22)=CalendarYear,MONTH(FebSun1+22)=2),FebSun1+22,""))</f>
        <v>46069</v>
      </c>
      <c r="L9" s="10">
        <f>IF(DAY(FebSun1)=1,IF(AND(YEAR(FebSun1+16)=CalendarYear,MONTH(FebSun1+16)=2),FebSun1+16,""),IF(AND(YEAR(FebSun1+23)=CalendarYear,MONTH(FebSun1+23)=2),FebSun1+23,""))</f>
        <v>46070</v>
      </c>
      <c r="M9" s="10">
        <f>IF(DAY(FebSun1)=1,IF(AND(YEAR(FebSun1+17)=CalendarYear,MONTH(FebSun1+17)=2),FebSun1+17,""),IF(AND(YEAR(FebSun1+24)=CalendarYear,MONTH(FebSun1+24)=2),FebSun1+24,""))</f>
        <v>46071</v>
      </c>
      <c r="N9" s="10">
        <f>IF(DAY(FebSun1)=1,IF(AND(YEAR(FebSun1+18)=CalendarYear,MONTH(FebSun1+18)=2),FebSun1+18,""),IF(AND(YEAR(FebSun1+25)=CalendarYear,MONTH(FebSun1+25)=2),FebSun1+25,""))</f>
        <v>46072</v>
      </c>
      <c r="O9" s="10">
        <f>IF(DAY(FebSun1)=1,IF(AND(YEAR(FebSun1+19)=CalendarYear,MONTH(FebSun1+19)=2),FebSun1+19,""),IF(AND(YEAR(FebSun1+26)=CalendarYear,MONTH(FebSun1+26)=2),FebSun1+26,""))</f>
        <v>46073</v>
      </c>
      <c r="P9" s="10">
        <f>IF(DAY(FebSun1)=1,IF(AND(YEAR(FebSun1+20)=CalendarYear,MONTH(FebSun1+20)=2),FebSun1+20,""),IF(AND(YEAR(FebSun1+27)=CalendarYear,MONTH(FebSun1+27)=2),FebSun1+27,""))</f>
        <v>46074</v>
      </c>
      <c r="Q9" s="10">
        <f>IF(DAY(FebSun1)=1,IF(AND(YEAR(FebSun1+21)=CalendarYear,MONTH(FebSun1+21)=2),FebSun1+21,""),IF(AND(YEAR(FebSun1+28)=CalendarYear,MONTH(FebSun1+28)=2),FebSun1+28,""))</f>
        <v>46075</v>
      </c>
      <c r="R9" s="2"/>
      <c r="S9" s="10">
        <f>IF(DAY(MarSun1)=1,IF(AND(YEAR(MarSun1+15)=CalendarYear,MONTH(MarSun1+15)=3),MarSun1+15,""),IF(AND(YEAR(MarSun1+22)=CalendarYear,MONTH(MarSun1+22)=3),MarSun1+22,""))</f>
        <v>46097</v>
      </c>
      <c r="T9" s="10">
        <f>IF(DAY(MarSun1)=1,IF(AND(YEAR(MarSun1+16)=CalendarYear,MONTH(MarSun1+16)=3),MarSun1+16,""),IF(AND(YEAR(MarSun1+23)=CalendarYear,MONTH(MarSun1+23)=3),MarSun1+23,""))</f>
        <v>46098</v>
      </c>
      <c r="U9" s="10">
        <f>IF(DAY(MarSun1)=1,IF(AND(YEAR(MarSun1+17)=CalendarYear,MONTH(MarSun1+17)=3),MarSun1+17,""),IF(AND(YEAR(MarSun1+24)=CalendarYear,MONTH(MarSun1+24)=3),MarSun1+24,""))</f>
        <v>46099</v>
      </c>
      <c r="V9" s="10">
        <f>IF(DAY(MarSun1)=1,IF(AND(YEAR(MarSun1+18)=CalendarYear,MONTH(MarSun1+18)=3),MarSun1+18,""),IF(AND(YEAR(MarSun1+25)=CalendarYear,MONTH(MarSun1+25)=3),MarSun1+25,""))</f>
        <v>46100</v>
      </c>
      <c r="W9" s="10">
        <f>IF(DAY(MarSun1)=1,IF(AND(YEAR(MarSun1+19)=CalendarYear,MONTH(MarSun1+19)=3),MarSun1+19,""),IF(AND(YEAR(MarSun1+26)=CalendarYear,MONTH(MarSun1+26)=3),MarSun1+26,""))</f>
        <v>46101</v>
      </c>
      <c r="X9" s="10">
        <f>IF(DAY(MarSun1)=1,IF(AND(YEAR(MarSun1+20)=CalendarYear,MONTH(MarSun1+20)=3),MarSun1+20,""),IF(AND(YEAR(MarSun1+27)=CalendarYear,MONTH(MarSun1+27)=3),MarSun1+27,""))</f>
        <v>46102</v>
      </c>
      <c r="Y9" s="27">
        <f>IF(DAY(MarSun1)=1,IF(AND(YEAR(MarSun1+21)=CalendarYear,MONTH(MarSun1+21)=3),MarSun1+21,""),IF(AND(YEAR(MarSun1+28)=CalendarYear,MONTH(MarSun1+28)=3),MarSun1+28,""))</f>
        <v>46103</v>
      </c>
      <c r="AA9" s="87"/>
      <c r="AJ9" s="2"/>
    </row>
    <row r="10" spans="1:36" ht="15" customHeight="1" x14ac:dyDescent="0.2">
      <c r="B10" s="2"/>
      <c r="C10" s="17">
        <f>IF(DAY(JanSun1)=1,IF(AND(YEAR(JanSun1+22)=CalendarYear,MONTH(JanSun1+22)=1),JanSun1+22,""),IF(AND(YEAR(JanSun1+29)=CalendarYear,MONTH(JanSun1+29)=1),JanSun1+29,""))</f>
        <v>46048</v>
      </c>
      <c r="D10" s="10">
        <f>IF(DAY(JanSun1)=1,IF(AND(YEAR(JanSun1+23)=CalendarYear,MONTH(JanSun1+23)=1),JanSun1+23,""),IF(AND(YEAR(JanSun1+30)=CalendarYear,MONTH(JanSun1+30)=1),JanSun1+30,""))</f>
        <v>46049</v>
      </c>
      <c r="E10" s="10">
        <f>IF(DAY(JanSun1)=1,IF(AND(YEAR(JanSun1+24)=CalendarYear,MONTH(JanSun1+24)=1),JanSun1+24,""),IF(AND(YEAR(JanSun1+31)=CalendarYear,MONTH(JanSun1+31)=1),JanSun1+31,""))</f>
        <v>46050</v>
      </c>
      <c r="F10" s="10">
        <f>IF(DAY(JanSun1)=1,IF(AND(YEAR(JanSun1+25)=CalendarYear,MONTH(JanSun1+25)=1),JanSun1+25,""),IF(AND(YEAR(JanSun1+32)=CalendarYear,MONTH(JanSun1+32)=1),JanSun1+32,""))</f>
        <v>46051</v>
      </c>
      <c r="G10" s="10">
        <f>IF(DAY(JanSun1)=1,IF(AND(YEAR(JanSun1+26)=CalendarYear,MONTH(JanSun1+26)=1),JanSun1+26,""),IF(AND(YEAR(JanSun1+33)=CalendarYear,MONTH(JanSun1+33)=1),JanSun1+33,""))</f>
        <v>46052</v>
      </c>
      <c r="H10" s="10">
        <f>IF(DAY(JanSun1)=1,IF(AND(YEAR(JanSun1+27)=CalendarYear,MONTH(JanSun1+27)=1),JanSun1+27,""),IF(AND(YEAR(JanSun1+34)=CalendarYear,MONTH(JanSun1+34)=1),JanSun1+34,""))</f>
        <v>46053</v>
      </c>
      <c r="I10" s="10" t="str">
        <f>IF(DAY(JanSun1)=1,IF(AND(YEAR(JanSun1+28)=CalendarYear,MONTH(JanSun1+28)=1),JanSun1+28,""),IF(AND(YEAR(JanSun1+35)=CalendarYear,MONTH(JanSun1+35)=1),JanSun1+35,""))</f>
        <v/>
      </c>
      <c r="J10" s="10"/>
      <c r="K10" s="10">
        <f>IF(DAY(FebSun1)=1,IF(AND(YEAR(FebSun1+22)=CalendarYear,MONTH(FebSun1+22)=2),FebSun1+22,""),IF(AND(YEAR(FebSun1+29)=CalendarYear,MONTH(FebSun1+29)=2),FebSun1+29,""))</f>
        <v>46076</v>
      </c>
      <c r="L10" s="10">
        <f>IF(DAY(FebSun1)=1,IF(AND(YEAR(FebSun1+23)=CalendarYear,MONTH(FebSun1+23)=2),FebSun1+23,""),IF(AND(YEAR(FebSun1+30)=CalendarYear,MONTH(FebSun1+30)=2),FebSun1+30,""))</f>
        <v>46077</v>
      </c>
      <c r="M10" s="10">
        <f>IF(DAY(FebSun1)=1,IF(AND(YEAR(FebSun1+24)=CalendarYear,MONTH(FebSun1+24)=2),FebSun1+24,""),IF(AND(YEAR(FebSun1+31)=CalendarYear,MONTH(FebSun1+31)=2),FebSun1+31,""))</f>
        <v>46078</v>
      </c>
      <c r="N10" s="10">
        <f>IF(DAY(FebSun1)=1,IF(AND(YEAR(FebSun1+25)=CalendarYear,MONTH(FebSun1+25)=2),FebSun1+25,""),IF(AND(YEAR(FebSun1+32)=CalendarYear,MONTH(FebSun1+32)=2),FebSun1+32,""))</f>
        <v>46079</v>
      </c>
      <c r="O10" s="10">
        <f>IF(DAY(FebSun1)=1,IF(AND(YEAR(FebSun1+26)=CalendarYear,MONTH(FebSun1+26)=2),FebSun1+26,""),IF(AND(YEAR(FebSun1+33)=CalendarYear,MONTH(FebSun1+33)=2),FebSun1+33,""))</f>
        <v>46080</v>
      </c>
      <c r="P10" s="10">
        <f>IF(DAY(FebSun1)=1,IF(AND(YEAR(FebSun1+27)=CalendarYear,MONTH(FebSun1+27)=2),FebSun1+27,""),IF(AND(YEAR(FebSun1+34)=CalendarYear,MONTH(FebSun1+34)=2),FebSun1+34,""))</f>
        <v>46081</v>
      </c>
      <c r="Q10" s="10" t="str">
        <f>IF(DAY(FebSun1)=1,IF(AND(YEAR(FebSun1+28)=CalendarYear,MONTH(FebSun1+28)=2),FebSun1+28,""),IF(AND(YEAR(FebSun1+35)=CalendarYear,MONTH(FebSun1+35)=2),FebSun1+35,""))</f>
        <v/>
      </c>
      <c r="R10" s="2"/>
      <c r="S10" s="29">
        <f>IF(DAY(MarSun1)=1,IF(AND(YEAR(MarSun1+22)=CalendarYear,MONTH(MarSun1+22)=3),MarSun1+22,""),IF(AND(YEAR(MarSun1+29)=CalendarYear,MONTH(MarSun1+29)=3),MarSun1+29,""))</f>
        <v>46104</v>
      </c>
      <c r="T10" s="10">
        <f>IF(DAY(MarSun1)=1,IF(AND(YEAR(MarSun1+23)=CalendarYear,MONTH(MarSun1+23)=3),MarSun1+23,""),IF(AND(YEAR(MarSun1+30)=CalendarYear,MONTH(MarSun1+30)=3),MarSun1+30,""))</f>
        <v>46105</v>
      </c>
      <c r="U10" s="10">
        <f>IF(DAY(MarSun1)=1,IF(AND(YEAR(MarSun1+24)=CalendarYear,MONTH(MarSun1+24)=3),MarSun1+24,""),IF(AND(YEAR(MarSun1+31)=CalendarYear,MONTH(MarSun1+31)=3),MarSun1+31,""))</f>
        <v>46106</v>
      </c>
      <c r="V10" s="13">
        <f>IF(DAY(MarSun1)=1,IF(AND(YEAR(MarSun1+25)=CalendarYear,MONTH(MarSun1+25)=3),MarSun1+25,""),IF(AND(YEAR(MarSun1+32)=CalendarYear,MONTH(MarSun1+32)=3),MarSun1+32,""))</f>
        <v>46107</v>
      </c>
      <c r="W10" s="10">
        <f>IF(DAY(MarSun1)=1,IF(AND(YEAR(MarSun1+26)=CalendarYear,MONTH(MarSun1+26)=3),MarSun1+26,""),IF(AND(YEAR(MarSun1+33)=CalendarYear,MONTH(MarSun1+33)=3),MarSun1+33,""))</f>
        <v>46108</v>
      </c>
      <c r="X10" s="10">
        <f>IF(DAY(MarSun1)=1,IF(AND(YEAR(MarSun1+27)=CalendarYear,MONTH(MarSun1+27)=3),MarSun1+27,""),IF(AND(YEAR(MarSun1+34)=CalendarYear,MONTH(MarSun1+34)=3),MarSun1+34,""))</f>
        <v>46109</v>
      </c>
      <c r="Y10" s="27">
        <f>IF(DAY(MarSun1)=1,IF(AND(YEAR(MarSun1+28)=CalendarYear,MONTH(MarSun1+28)=3),MarSun1+28,""),IF(AND(YEAR(MarSun1+35)=CalendarYear,MONTH(MarSun1+35)=3),MarSun1+35,""))</f>
        <v>46110</v>
      </c>
      <c r="AA10" s="87"/>
      <c r="AB10" s="11"/>
      <c r="AJ10" s="2"/>
    </row>
    <row r="11" spans="1:36" ht="15" customHeight="1" x14ac:dyDescent="0.2">
      <c r="B11" s="2"/>
      <c r="C11" s="17" t="str">
        <f>IF(DAY(JanSun1)=1,IF(AND(YEAR(JanSun1+29)=CalendarYear,MONTH(JanSun1+29)=1),JanSun1+29,""),IF(AND(YEAR(JanSun1+36)=CalendarYear,MONTH(JanSun1+36)=1),JanSun1+36,""))</f>
        <v/>
      </c>
      <c r="D11" s="10" t="str">
        <f>IF(DAY(JanSun1)=1,IF(AND(YEAR(JanSun1+30)=CalendarYear,MONTH(JanSun1+30)=1),JanSun1+30,""),IF(AND(YEAR(JanSun1+37)=CalendarYear,MONTH(JanSun1+37)=1),JanSun1+37,""))</f>
        <v/>
      </c>
      <c r="E11" s="10" t="str">
        <f>IF(DAY(JanSun1)=1,IF(AND(YEAR(JanSun1+31)=CalendarYear,MONTH(JanSun1+31)=1),JanSun1+31,""),IF(AND(YEAR(JanSun1+38)=CalendarYear,MONTH(JanSun1+38)=1),JanSun1+38,""))</f>
        <v/>
      </c>
      <c r="F11" s="10" t="str">
        <f>IF(DAY(JanSun1)=1,IF(AND(YEAR(JanSun1+32)=CalendarYear,MONTH(JanSun1+32)=1),JanSun1+32,""),IF(AND(YEAR(JanSun1+39)=CalendarYear,MONTH(JanSun1+39)=1),JanSun1+39,""))</f>
        <v/>
      </c>
      <c r="G11" s="10" t="str">
        <f>IF(DAY(JanSun1)=1,IF(AND(YEAR(JanSun1+33)=CalendarYear,MONTH(JanSun1+33)=1),JanSun1+33,""),IF(AND(YEAR(JanSun1+40)=CalendarYear,MONTH(JanSun1+40)=1),JanSun1+40,""))</f>
        <v/>
      </c>
      <c r="H11" s="10" t="str">
        <f>IF(DAY(JanSun1)=1,IF(AND(YEAR(JanSun1+34)=CalendarYear,MONTH(JanSun1+34)=1),JanSun1+34,""),IF(AND(YEAR(JanSun1+41)=CalendarYear,MONTH(JanSun1+41)=1),JanSun1+41,""))</f>
        <v/>
      </c>
      <c r="I11" s="10" t="str">
        <f>IF(DAY(JanSun1)=1,IF(AND(YEAR(JanSun1+35)=CalendarYear,MONTH(JanSun1+35)=1),JanSun1+35,""),IF(AND(YEAR(JanSun1+42)=CalendarYear,MONTH(JanSun1+42)=1),JanSun1+42,""))</f>
        <v/>
      </c>
      <c r="J11" s="10"/>
      <c r="K11" s="10" t="str">
        <f>IF(DAY(FebSun1)=1,IF(AND(YEAR(FebSun1+29)=CalendarYear,MONTH(FebSun1+29)=2),FebSun1+29,""),IF(AND(YEAR(FebSun1+36)=CalendarYear,MONTH(FebSun1+36)=2),FebSun1+36,""))</f>
        <v/>
      </c>
      <c r="L11" s="10" t="str">
        <f>IF(DAY(FebSun1)=1,IF(AND(YEAR(FebSun1+30)=CalendarYear,MONTH(FebSun1+30)=2),FebSun1+30,""),IF(AND(YEAR(FebSun1+37)=CalendarYear,MONTH(FebSun1+37)=2),FebSun1+37,""))</f>
        <v/>
      </c>
      <c r="M11" s="10" t="str">
        <f>IF(DAY(FebSun1)=1,IF(AND(YEAR(FebSun1+31)=CalendarYear,MONTH(FebSun1+31)=2),FebSun1+31,""),IF(AND(YEAR(FebSun1+38)=CalendarYear,MONTH(FebSun1+38)=2),FebSun1+38,""))</f>
        <v/>
      </c>
      <c r="N11" s="10" t="str">
        <f>IF(DAY(FebSun1)=1,IF(AND(YEAR(FebSun1+32)=CalendarYear,MONTH(FebSun1+32)=2),FebSun1+32,""),IF(AND(YEAR(FebSun1+39)=CalendarYear,MONTH(FebSun1+39)=2),FebSun1+39,""))</f>
        <v/>
      </c>
      <c r="O11" s="10" t="str">
        <f>IF(DAY(FebSun1)=1,IF(AND(YEAR(FebSun1+33)=CalendarYear,MONTH(FebSun1+33)=2),FebSun1+33,""),IF(AND(YEAR(FebSun1+40)=CalendarYear,MONTH(FebSun1+40)=2),FebSun1+40,""))</f>
        <v/>
      </c>
      <c r="P11" s="10" t="str">
        <f>IF(DAY(FebSun1)=1,IF(AND(YEAR(FebSun1+34)=CalendarYear,MONTH(FebSun1+34)=2),FebSun1+34,""),IF(AND(YEAR(FebSun1+41)=CalendarYear,MONTH(FebSun1+41)=2),FebSun1+41,""))</f>
        <v/>
      </c>
      <c r="Q11" s="10" t="str">
        <f>IF(DAY(FebSun1)=1,IF(AND(YEAR(FebSun1+35)=CalendarYear,MONTH(FebSun1+35)=2),FebSun1+35,""),IF(AND(YEAR(FebSun1+42)=CalendarYear,MONTH(FebSun1+42)=2),FebSun1+42,""))</f>
        <v/>
      </c>
      <c r="R11" s="2"/>
      <c r="S11" s="10">
        <f>IF(DAY(MarSun1)=1,IF(AND(YEAR(MarSun1+29)=CalendarYear,MONTH(MarSun1+29)=3),MarSun1+29,""),IF(AND(YEAR(MarSun1+36)=CalendarYear,MONTH(MarSun1+36)=3),MarSun1+36,""))</f>
        <v>46111</v>
      </c>
      <c r="T11" s="30">
        <f>IF(DAY(MarSun1)=1,IF(AND(YEAR(MarSun1+30)=CalendarYear,MONTH(MarSun1+30)=3),MarSun1+30,""),IF(AND(YEAR(MarSun1+37)=CalendarYear,MONTH(MarSun1+37)=3),MarSun1+37,""))</f>
        <v>46112</v>
      </c>
      <c r="U11" s="10" t="str">
        <f>IF(DAY(MarSun1)=1,IF(AND(YEAR(MarSun1+31)=CalendarYear,MONTH(MarSun1+31)=3),MarSun1+31,""),IF(AND(YEAR(MarSun1+38)=CalendarYear,MONTH(MarSun1+38)=3),MarSun1+38,""))</f>
        <v/>
      </c>
      <c r="V11" s="10" t="str">
        <f>IF(DAY(MarSun1)=1,IF(AND(YEAR(MarSun1+32)=CalendarYear,MONTH(MarSun1+32)=3),MarSun1+32,""),IF(AND(YEAR(MarSun1+39)=CalendarYear,MONTH(MarSun1+39)=3),MarSun1+39,""))</f>
        <v/>
      </c>
      <c r="W11" s="10" t="str">
        <f>IF(DAY(MarSun1)=1,IF(AND(YEAR(MarSun1+33)=CalendarYear,MONTH(MarSun1+33)=3),MarSun1+33,""),IF(AND(YEAR(MarSun1+40)=CalendarYear,MONTH(MarSun1+40)=3),MarSun1+40,""))</f>
        <v/>
      </c>
      <c r="X11" s="10" t="str">
        <f>IF(DAY(MarSun1)=1,IF(AND(YEAR(MarSun1+34)=CalendarYear,MONTH(MarSun1+34)=3),MarSun1+34,""),IF(AND(YEAR(MarSun1+41)=CalendarYear,MONTH(MarSun1+41)=3),MarSun1+41,""))</f>
        <v/>
      </c>
      <c r="Y11" s="27" t="str">
        <f>IF(DAY(MarSun1)=1,IF(AND(YEAR(MarSun1+35)=CalendarYear,MONTH(MarSun1+35)=3),MarSun1+35,""),IF(AND(YEAR(MarSun1+42)=CalendarYear,MONTH(MarSun1+42)=3),MarSun1+42,""))</f>
        <v/>
      </c>
      <c r="AA11" s="87"/>
      <c r="AB11" s="11"/>
      <c r="AJ11" s="2"/>
    </row>
    <row r="12" spans="1:36" ht="15" x14ac:dyDescent="0.2">
      <c r="A12" s="6"/>
      <c r="C12" s="75" t="s">
        <v>14</v>
      </c>
      <c r="D12" s="76"/>
      <c r="E12" s="76"/>
      <c r="F12" s="76"/>
      <c r="G12" s="76"/>
      <c r="H12" s="76"/>
      <c r="I12" s="76"/>
      <c r="J12" s="21"/>
      <c r="K12" s="76" t="s">
        <v>3</v>
      </c>
      <c r="L12" s="76"/>
      <c r="M12" s="76"/>
      <c r="N12" s="76"/>
      <c r="O12" s="76"/>
      <c r="P12" s="76"/>
      <c r="Q12" s="76"/>
      <c r="R12" s="2"/>
      <c r="S12" s="76" t="s">
        <v>15</v>
      </c>
      <c r="T12" s="76"/>
      <c r="U12" s="76"/>
      <c r="V12" s="76"/>
      <c r="W12" s="76"/>
      <c r="X12" s="76"/>
      <c r="Y12" s="77"/>
      <c r="AA12" s="87"/>
      <c r="AB12" s="11"/>
      <c r="AC12" s="9"/>
      <c r="AF12" s="9"/>
      <c r="AG12" s="9"/>
      <c r="AH12" s="9"/>
      <c r="AI12" s="9"/>
      <c r="AJ12" s="2"/>
    </row>
    <row r="13" spans="1:36" ht="15" customHeight="1" x14ac:dyDescent="0.25">
      <c r="A13" s="6"/>
      <c r="B13" s="2"/>
      <c r="C13" s="16" t="s">
        <v>1</v>
      </c>
      <c r="D13" s="4" t="s">
        <v>7</v>
      </c>
      <c r="E13" s="4" t="s">
        <v>8</v>
      </c>
      <c r="F13" s="4" t="s">
        <v>9</v>
      </c>
      <c r="G13" s="4" t="s">
        <v>10</v>
      </c>
      <c r="H13" s="4" t="s">
        <v>11</v>
      </c>
      <c r="I13" s="4" t="s">
        <v>12</v>
      </c>
      <c r="J13" s="3"/>
      <c r="K13" s="4" t="s">
        <v>1</v>
      </c>
      <c r="L13" s="4" t="s">
        <v>7</v>
      </c>
      <c r="M13" s="4" t="s">
        <v>8</v>
      </c>
      <c r="N13" s="4" t="s">
        <v>9</v>
      </c>
      <c r="O13" s="4" t="s">
        <v>10</v>
      </c>
      <c r="P13" s="4" t="s">
        <v>11</v>
      </c>
      <c r="Q13" s="4" t="s">
        <v>12</v>
      </c>
      <c r="R13" s="2"/>
      <c r="S13" s="4" t="s">
        <v>1</v>
      </c>
      <c r="T13" s="4" t="s">
        <v>7</v>
      </c>
      <c r="U13" s="4" t="s">
        <v>8</v>
      </c>
      <c r="V13" s="4" t="s">
        <v>9</v>
      </c>
      <c r="W13" s="4" t="s">
        <v>10</v>
      </c>
      <c r="X13" s="4" t="s">
        <v>11</v>
      </c>
      <c r="Y13" s="26" t="s">
        <v>12</v>
      </c>
      <c r="AA13" s="31" t="s">
        <v>23</v>
      </c>
      <c r="AB13" s="34"/>
      <c r="AJ13" s="2"/>
    </row>
    <row r="14" spans="1:36" ht="15" customHeight="1" x14ac:dyDescent="0.2">
      <c r="B14" s="2"/>
      <c r="C14" s="17" t="str">
        <f>IF(DAY(AprSun1)=1,"",IF(AND(YEAR(AprSun1+1)=CalendarYear,MONTH(AprSun1+1)=4),AprSun1+1,""))</f>
        <v/>
      </c>
      <c r="D14" s="10" t="str">
        <f>IF(DAY(AprSun1)=1,"",IF(AND(YEAR(AprSun1+2)=CalendarYear,MONTH(AprSun1+2)=4),AprSun1+2,""))</f>
        <v/>
      </c>
      <c r="E14" s="23">
        <f>IF(DAY(AprSun1)=1,"",IF(AND(YEAR(AprSun1+3)=CalendarYear,MONTH(AprSun1+3)=4),AprSun1+3,""))</f>
        <v>46113</v>
      </c>
      <c r="F14" s="10">
        <f>IF(DAY(AprSun1)=1,"",IF(AND(YEAR(AprSun1+4)=CalendarYear,MONTH(AprSun1+4)=4),AprSun1+4,""))</f>
        <v>46114</v>
      </c>
      <c r="G14" s="10">
        <f>IF(DAY(AprSun1)=1,"",IF(AND(YEAR(AprSun1+5)=CalendarYear,MONTH(AprSun1+5)=4),AprSun1+5,""))</f>
        <v>46115</v>
      </c>
      <c r="H14" s="10">
        <f>IF(DAY(AprSun1)=1,"",IF(AND(YEAR(AprSun1+6)=CalendarYear,MONTH(AprSun1+6)=4),AprSun1+6,""))</f>
        <v>46116</v>
      </c>
      <c r="I14" s="10">
        <f>IF(DAY(AprSun1)=1,IF(AND(YEAR(AprSun1)=CalendarYear,MONTH(AprSun1)=4),AprSun1,""),IF(AND(YEAR(AprSun1+7)=CalendarYear,MONTH(AprSun1+7)=4),AprSun1+7,""))</f>
        <v>46117</v>
      </c>
      <c r="J14" s="8"/>
      <c r="K14" s="10" t="str">
        <f>IF(DAY(MaySun1)=1,"",IF(AND(YEAR(MaySun1+1)=CalendarYear,MONTH(MaySun1+1)=5),MaySun1+1,""))</f>
        <v/>
      </c>
      <c r="L14" s="10" t="str">
        <f>IF(DAY(MaySun1)=1,"",IF(AND(YEAR(MaySun1+2)=CalendarYear,MONTH(MaySun1+2)=5),MaySun1+2,""))</f>
        <v/>
      </c>
      <c r="M14" s="10" t="str">
        <f>IF(DAY(MaySun1)=1,"",IF(AND(YEAR(MaySun1+3)=CalendarYear,MONTH(MaySun1+3)=5),MaySun1+3,""))</f>
        <v/>
      </c>
      <c r="N14" s="10" t="str">
        <f>IF(DAY(MaySun1)=1,"",IF(AND(YEAR(MaySun1+4)=CalendarYear,MONTH(MaySun1+4)=5),MaySun1+4,""))</f>
        <v/>
      </c>
      <c r="O14" s="10">
        <f>IF(DAY(MaySun1)=1,"",IF(AND(YEAR(MaySun1+5)=CalendarYear,MONTH(MaySun1+5)=5),MaySun1+5,""))</f>
        <v>46143</v>
      </c>
      <c r="P14" s="10">
        <f>IF(DAY(MaySun1)=1,"",IF(AND(YEAR(MaySun1+6)=CalendarYear,MONTH(MaySun1+6)=5),MaySun1+6,""))</f>
        <v>46144</v>
      </c>
      <c r="Q14" s="10">
        <f>IF(DAY(MaySun1)=1,IF(AND(YEAR(MaySun1)=CalendarYear,MONTH(MaySun1)=5),MaySun1,""),IF(AND(YEAR(MaySun1+7)=CalendarYear,MONTH(MaySun1+7)=5),MaySun1+7,""))</f>
        <v>46145</v>
      </c>
      <c r="R14" s="2"/>
      <c r="S14" s="10">
        <f>IF(DAY(JunSun1)=1,"",IF(AND(YEAR(JunSun1+1)=CalendarYear,MONTH(JunSun1+1)=6),JunSun1+1,""))</f>
        <v>46174</v>
      </c>
      <c r="T14" s="10">
        <f>IF(DAY(JunSun1)=1,"",IF(AND(YEAR(JunSun1+2)=CalendarYear,MONTH(JunSun1+2)=6),JunSun1+2,""))</f>
        <v>46175</v>
      </c>
      <c r="U14" s="10">
        <f>IF(DAY(JunSun1)=1,"",IF(AND(YEAR(JunSun1+3)=CalendarYear,MONTH(JunSun1+3)=6),JunSun1+3,""))</f>
        <v>46176</v>
      </c>
      <c r="V14" s="10">
        <f>IF(DAY(JunSun1)=1,"",IF(AND(YEAR(JunSun1+4)=CalendarYear,MONTH(JunSun1+4)=6),JunSun1+4,""))</f>
        <v>46177</v>
      </c>
      <c r="W14" s="10">
        <f>IF(DAY(JunSun1)=1,"",IF(AND(YEAR(JunSun1+5)=CalendarYear,MONTH(JunSun1+5)=6),JunSun1+5,""))</f>
        <v>46178</v>
      </c>
      <c r="X14" s="10">
        <f>IF(DAY(JunSun1)=1,"",IF(AND(YEAR(JunSun1+6)=CalendarYear,MONTH(JunSun1+6)=6),JunSun1+6,""))</f>
        <v>46179</v>
      </c>
      <c r="Y14" s="27">
        <f>IF(DAY(JunSun1)=1,IF(AND(YEAR(JunSun1)=CalendarYear,MONTH(JunSun1)=6),JunSun1,""),IF(AND(YEAR(JunSun1+7)=CalendarYear,MONTH(JunSun1+7)=6),JunSun1+7,""))</f>
        <v>46180</v>
      </c>
      <c r="AA14" s="85" t="s">
        <v>35</v>
      </c>
      <c r="AB14" s="11"/>
      <c r="AJ14" s="2"/>
    </row>
    <row r="15" spans="1:36" ht="15" customHeight="1" x14ac:dyDescent="0.2">
      <c r="A15" s="6"/>
      <c r="B15" s="2"/>
      <c r="C15" s="17">
        <f>IF(DAY(AprSun1)=1,IF(AND(YEAR(AprSun1+1)=CalendarYear,MONTH(AprSun1+1)=4),AprSun1+1,""),IF(AND(YEAR(AprSun1+8)=CalendarYear,MONTH(AprSun1+8)=4),AprSun1+8,""))</f>
        <v>46118</v>
      </c>
      <c r="D15" s="10">
        <f>IF(DAY(AprSun1)=1,IF(AND(YEAR(AprSun1+2)=CalendarYear,MONTH(AprSun1+2)=4),AprSun1+2,""),IF(AND(YEAR(AprSun1+9)=CalendarYear,MONTH(AprSun1+9)=4),AprSun1+9,""))</f>
        <v>46119</v>
      </c>
      <c r="E15" s="10">
        <f>IF(DAY(AprSun1)=1,IF(AND(YEAR(AprSun1+3)=CalendarYear,MONTH(AprSun1+3)=4),AprSun1+3,""),IF(AND(YEAR(AprSun1+10)=CalendarYear,MONTH(AprSun1+10)=4),AprSun1+10,""))</f>
        <v>46120</v>
      </c>
      <c r="F15" s="10">
        <f>IF(DAY(AprSun1)=1,IF(AND(YEAR(AprSun1+4)=CalendarYear,MONTH(AprSun1+4)=4),AprSun1+4,""),IF(AND(YEAR(AprSun1+11)=CalendarYear,MONTH(AprSun1+11)=4),AprSun1+11,""))</f>
        <v>46121</v>
      </c>
      <c r="G15" s="10">
        <f>IF(DAY(AprSun1)=1,IF(AND(YEAR(AprSun1+5)=CalendarYear,MONTH(AprSun1+5)=4),AprSun1+5,""),IF(AND(YEAR(AprSun1+12)=CalendarYear,MONTH(AprSun1+12)=4),AprSun1+12,""))</f>
        <v>46122</v>
      </c>
      <c r="H15" s="10">
        <f>IF(DAY(AprSun1)=1,IF(AND(YEAR(AprSun1+6)=CalendarYear,MONTH(AprSun1+6)=4),AprSun1+6,""),IF(AND(YEAR(AprSun1+13)=CalendarYear,MONTH(AprSun1+13)=4),AprSun1+13,""))</f>
        <v>46123</v>
      </c>
      <c r="I15" s="10">
        <f>IF(DAY(AprSun1)=1,IF(AND(YEAR(AprSun1+7)=CalendarYear,MONTH(AprSun1+7)=4),AprSun1+7,""),IF(AND(YEAR(AprSun1+14)=CalendarYear,MONTH(AprSun1+14)=4),AprSun1+14,""))</f>
        <v>46124</v>
      </c>
      <c r="J15" s="10"/>
      <c r="K15" s="10">
        <f>IF(DAY(MaySun1)=1,IF(AND(YEAR(MaySun1+1)=CalendarYear,MONTH(MaySun1+1)=5),MaySun1+1,""),IF(AND(YEAR(MaySun1+8)=CalendarYear,MONTH(MaySun1+8)=5),MaySun1+8,""))</f>
        <v>46146</v>
      </c>
      <c r="L15" s="10">
        <f>IF(DAY(MaySun1)=1,IF(AND(YEAR(MaySun1+2)=CalendarYear,MONTH(MaySun1+2)=5),MaySun1+2,""),IF(AND(YEAR(MaySun1+9)=CalendarYear,MONTH(MaySun1+9)=5),MaySun1+9,""))</f>
        <v>46147</v>
      </c>
      <c r="M15" s="10">
        <f>IF(DAY(MaySun1)=1,IF(AND(YEAR(MaySun1+3)=CalendarYear,MONTH(MaySun1+3)=5),MaySun1+3,""),IF(AND(YEAR(MaySun1+10)=CalendarYear,MONTH(MaySun1+10)=5),MaySun1+10,""))</f>
        <v>46148</v>
      </c>
      <c r="N15" s="10">
        <f>IF(DAY(MaySun1)=1,IF(AND(YEAR(MaySun1+4)=CalendarYear,MONTH(MaySun1+4)=5),MaySun1+4,""),IF(AND(YEAR(MaySun1+11)=CalendarYear,MONTH(MaySun1+11)=5),MaySun1+11,""))</f>
        <v>46149</v>
      </c>
      <c r="O15" s="10">
        <f>IF(DAY(MaySun1)=1,IF(AND(YEAR(MaySun1+5)=CalendarYear,MONTH(MaySun1+5)=5),MaySun1+5,""),IF(AND(YEAR(MaySun1+12)=CalendarYear,MONTH(MaySun1+12)=5),MaySun1+12,""))</f>
        <v>46150</v>
      </c>
      <c r="P15" s="10">
        <f>IF(DAY(MaySun1)=1,IF(AND(YEAR(MaySun1+6)=CalendarYear,MONTH(MaySun1+6)=5),MaySun1+6,""),IF(AND(YEAR(MaySun1+13)=CalendarYear,MONTH(MaySun1+13)=5),MaySun1+13,""))</f>
        <v>46151</v>
      </c>
      <c r="Q15" s="10">
        <f>IF(DAY(MaySun1)=1,IF(AND(YEAR(MaySun1+7)=CalendarYear,MONTH(MaySun1+7)=5),MaySun1+7,""),IF(AND(YEAR(MaySun1+14)=CalendarYear,MONTH(MaySun1+14)=5),MaySun1+14,""))</f>
        <v>46152</v>
      </c>
      <c r="R15" s="2"/>
      <c r="S15" s="10">
        <f>IF(DAY(JunSun1)=1,IF(AND(YEAR(JunSun1+1)=CalendarYear,MONTH(JunSun1+1)=6),JunSun1+1,""),IF(AND(YEAR(JunSun1+8)=CalendarYear,MONTH(JunSun1+8)=6),JunSun1+8,""))</f>
        <v>46181</v>
      </c>
      <c r="T15" s="10">
        <f>IF(DAY(JunSun1)=1,IF(AND(YEAR(JunSun1+2)=CalendarYear,MONTH(JunSun1+2)=6),JunSun1+2,""),IF(AND(YEAR(JunSun1+9)=CalendarYear,MONTH(JunSun1+9)=6),JunSun1+9,""))</f>
        <v>46182</v>
      </c>
      <c r="U15" s="10">
        <f>IF(DAY(JunSun1)=1,IF(AND(YEAR(JunSun1+3)=CalendarYear,MONTH(JunSun1+3)=6),JunSun1+3,""),IF(AND(YEAR(JunSun1+10)=CalendarYear,MONTH(JunSun1+10)=6),JunSun1+10,""))</f>
        <v>46183</v>
      </c>
      <c r="V15" s="10">
        <f>IF(DAY(JunSun1)=1,IF(AND(YEAR(JunSun1+4)=CalendarYear,MONTH(JunSun1+4)=6),JunSun1+4,""),IF(AND(YEAR(JunSun1+11)=CalendarYear,MONTH(JunSun1+11)=6),JunSun1+11,""))</f>
        <v>46184</v>
      </c>
      <c r="W15" s="10">
        <f>IF(DAY(JunSun1)=1,IF(AND(YEAR(JunSun1+5)=CalendarYear,MONTH(JunSun1+5)=6),JunSun1+5,""),IF(AND(YEAR(JunSun1+12)=CalendarYear,MONTH(JunSun1+12)=6),JunSun1+12,""))</f>
        <v>46185</v>
      </c>
      <c r="X15" s="10">
        <f>IF(DAY(JunSun1)=1,IF(AND(YEAR(JunSun1+6)=CalendarYear,MONTH(JunSun1+6)=6),JunSun1+6,""),IF(AND(YEAR(JunSun1+13)=CalendarYear,MONTH(JunSun1+13)=6),JunSun1+13,""))</f>
        <v>46186</v>
      </c>
      <c r="Y15" s="27">
        <f>IF(DAY(JunSun1)=1,IF(AND(YEAR(JunSun1+7)=CalendarYear,MONTH(JunSun1+7)=6),JunSun1+7,""),IF(AND(YEAR(JunSun1+14)=CalendarYear,MONTH(JunSun1+14)=6),JunSun1+14,""))</f>
        <v>46187</v>
      </c>
      <c r="AA15" s="84"/>
      <c r="AB15" s="8"/>
      <c r="AJ15" s="2"/>
    </row>
    <row r="16" spans="1:36" ht="15" customHeight="1" x14ac:dyDescent="0.2">
      <c r="B16" s="2"/>
      <c r="C16" s="17">
        <f>IF(DAY(AprSun1)=1,IF(AND(YEAR(AprSun1+8)=CalendarYear,MONTH(AprSun1+8)=4),AprSun1+8,""),IF(AND(YEAR(AprSun1+15)=CalendarYear,MONTH(AprSun1+15)=4),AprSun1+15,""))</f>
        <v>46125</v>
      </c>
      <c r="D16" s="10">
        <f>IF(DAY(AprSun1)=1,IF(AND(YEAR(AprSun1+9)=CalendarYear,MONTH(AprSun1+9)=4),AprSun1+9,""),IF(AND(YEAR(AprSun1+16)=CalendarYear,MONTH(AprSun1+16)=4),AprSun1+16,""))</f>
        <v>46126</v>
      </c>
      <c r="E16" s="10">
        <f>IF(DAY(AprSun1)=1,IF(AND(YEAR(AprSun1+10)=CalendarYear,MONTH(AprSun1+10)=4),AprSun1+10,""),IF(AND(YEAR(AprSun1+17)=CalendarYear,MONTH(AprSun1+17)=4),AprSun1+17,""))</f>
        <v>46127</v>
      </c>
      <c r="F16" s="10">
        <f>IF(DAY(AprSun1)=1,IF(AND(YEAR(AprSun1+11)=CalendarYear,MONTH(AprSun1+11)=4),AprSun1+11,""),IF(AND(YEAR(AprSun1+18)=CalendarYear,MONTH(AprSun1+18)=4),AprSun1+18,""))</f>
        <v>46128</v>
      </c>
      <c r="G16" s="10">
        <f>IF(DAY(AprSun1)=1,IF(AND(YEAR(AprSun1+12)=CalendarYear,MONTH(AprSun1+12)=4),AprSun1+12,""),IF(AND(YEAR(AprSun1+19)=CalendarYear,MONTH(AprSun1+19)=4),AprSun1+19,""))</f>
        <v>46129</v>
      </c>
      <c r="H16" s="10">
        <f>IF(DAY(AprSun1)=1,IF(AND(YEAR(AprSun1+13)=CalendarYear,MONTH(AprSun1+13)=4),AprSun1+13,""),IF(AND(YEAR(AprSun1+20)=CalendarYear,MONTH(AprSun1+20)=4),AprSun1+20,""))</f>
        <v>46130</v>
      </c>
      <c r="I16" s="10">
        <f>IF(DAY(AprSun1)=1,IF(AND(YEAR(AprSun1+14)=CalendarYear,MONTH(AprSun1+14)=4),AprSun1+14,""),IF(AND(YEAR(AprSun1+21)=CalendarYear,MONTH(AprSun1+21)=4),AprSun1+21,""))</f>
        <v>46131</v>
      </c>
      <c r="J16" s="10"/>
      <c r="K16" s="10">
        <f>IF(DAY(MaySun1)=1,IF(AND(YEAR(MaySun1+8)=CalendarYear,MONTH(MaySun1+8)=5),MaySun1+8,""),IF(AND(YEAR(MaySun1+15)=CalendarYear,MONTH(MaySun1+15)=5),MaySun1+15,""))</f>
        <v>46153</v>
      </c>
      <c r="L16" s="10">
        <f>IF(DAY(MaySun1)=1,IF(AND(YEAR(MaySun1+9)=CalendarYear,MONTH(MaySun1+9)=5),MaySun1+9,""),IF(AND(YEAR(MaySun1+16)=CalendarYear,MONTH(MaySun1+16)=5),MaySun1+16,""))</f>
        <v>46154</v>
      </c>
      <c r="M16" s="10">
        <f>IF(DAY(MaySun1)=1,IF(AND(YEAR(MaySun1+10)=CalendarYear,MONTH(MaySun1+10)=5),MaySun1+10,""),IF(AND(YEAR(MaySun1+17)=CalendarYear,MONTH(MaySun1+17)=5),MaySun1+17,""))</f>
        <v>46155</v>
      </c>
      <c r="N16" s="10">
        <f>IF(DAY(MaySun1)=1,IF(AND(YEAR(MaySun1+11)=CalendarYear,MONTH(MaySun1+11)=5),MaySun1+11,""),IF(AND(YEAR(MaySun1+18)=CalendarYear,MONTH(MaySun1+18)=5),MaySun1+18,""))</f>
        <v>46156</v>
      </c>
      <c r="O16" s="10">
        <f>IF(DAY(MaySun1)=1,IF(AND(YEAR(MaySun1+12)=CalendarYear,MONTH(MaySun1+12)=5),MaySun1+12,""),IF(AND(YEAR(MaySun1+19)=CalendarYear,MONTH(MaySun1+19)=5),MaySun1+19,""))</f>
        <v>46157</v>
      </c>
      <c r="P16" s="10">
        <f>IF(DAY(MaySun1)=1,IF(AND(YEAR(MaySun1+13)=CalendarYear,MONTH(MaySun1+13)=5),MaySun1+13,""),IF(AND(YEAR(MaySun1+20)=CalendarYear,MONTH(MaySun1+20)=5),MaySun1+20,""))</f>
        <v>46158</v>
      </c>
      <c r="Q16" s="10">
        <f>IF(DAY(MaySun1)=1,IF(AND(YEAR(MaySun1+14)=CalendarYear,MONTH(MaySun1+14)=5),MaySun1+14,""),IF(AND(YEAR(MaySun1+21)=CalendarYear,MONTH(MaySun1+21)=5),MaySun1+21,""))</f>
        <v>46159</v>
      </c>
      <c r="R16" s="2"/>
      <c r="S16" s="10">
        <f>IF(DAY(JunSun1)=1,IF(AND(YEAR(JunSun1+8)=CalendarYear,MONTH(JunSun1+8)=6),JunSun1+8,""),IF(AND(YEAR(JunSun1+15)=CalendarYear,MONTH(JunSun1+15)=6),JunSun1+15,""))</f>
        <v>46188</v>
      </c>
      <c r="T16" s="10">
        <f>IF(DAY(JunSun1)=1,IF(AND(YEAR(JunSun1+9)=CalendarYear,MONTH(JunSun1+9)=6),JunSun1+9,""),IF(AND(YEAR(JunSun1+16)=CalendarYear,MONTH(JunSun1+16)=6),JunSun1+16,""))</f>
        <v>46189</v>
      </c>
      <c r="U16" s="10">
        <f>IF(DAY(JunSun1)=1,IF(AND(YEAR(JunSun1+10)=CalendarYear,MONTH(JunSun1+10)=6),JunSun1+10,""),IF(AND(YEAR(JunSun1+17)=CalendarYear,MONTH(JunSun1+17)=6),JunSun1+17,""))</f>
        <v>46190</v>
      </c>
      <c r="V16" s="10">
        <f>IF(DAY(JunSun1)=1,IF(AND(YEAR(JunSun1+11)=CalendarYear,MONTH(JunSun1+11)=6),JunSun1+11,""),IF(AND(YEAR(JunSun1+18)=CalendarYear,MONTH(JunSun1+18)=6),JunSun1+18,""))</f>
        <v>46191</v>
      </c>
      <c r="W16" s="10">
        <f>IF(DAY(JunSun1)=1,IF(AND(YEAR(JunSun1+12)=CalendarYear,MONTH(JunSun1+12)=6),JunSun1+12,""),IF(AND(YEAR(JunSun1+19)=CalendarYear,MONTH(JunSun1+19)=6),JunSun1+19,""))</f>
        <v>46192</v>
      </c>
      <c r="X16" s="10">
        <f>IF(DAY(JunSun1)=1,IF(AND(YEAR(JunSun1+13)=CalendarYear,MONTH(JunSun1+13)=6),JunSun1+13,""),IF(AND(YEAR(JunSun1+20)=CalendarYear,MONTH(JunSun1+20)=6),JunSun1+20,""))</f>
        <v>46193</v>
      </c>
      <c r="Y16" s="27">
        <f>IF(DAY(JunSun1)=1,IF(AND(YEAR(JunSun1+14)=CalendarYear,MONTH(JunSun1+14)=6),JunSun1+14,""),IF(AND(YEAR(JunSun1+21)=CalendarYear,MONTH(JunSun1+21)=6),JunSun1+21,""))</f>
        <v>46194</v>
      </c>
      <c r="AA16" s="84"/>
      <c r="AJ16" s="2"/>
    </row>
    <row r="17" spans="1:36" ht="15" customHeight="1" x14ac:dyDescent="0.2">
      <c r="B17" s="2"/>
      <c r="C17" s="17">
        <f>IF(DAY(AprSun1)=1,IF(AND(YEAR(AprSun1+15)=CalendarYear,MONTH(AprSun1+15)=4),AprSun1+15,""),IF(AND(YEAR(AprSun1+22)=CalendarYear,MONTH(AprSun1+22)=4),AprSun1+22,""))</f>
        <v>46132</v>
      </c>
      <c r="D17" s="10">
        <f>IF(DAY(AprSun1)=1,IF(AND(YEAR(AprSun1+16)=CalendarYear,MONTH(AprSun1+16)=4),AprSun1+16,""),IF(AND(YEAR(AprSun1+23)=CalendarYear,MONTH(AprSun1+23)=4),AprSun1+23,""))</f>
        <v>46133</v>
      </c>
      <c r="E17" s="10">
        <f>IF(DAY(AprSun1)=1,IF(AND(YEAR(AprSun1+17)=CalendarYear,MONTH(AprSun1+17)=4),AprSun1+17,""),IF(AND(YEAR(AprSun1+24)=CalendarYear,MONTH(AprSun1+24)=4),AprSun1+24,""))</f>
        <v>46134</v>
      </c>
      <c r="F17" s="10">
        <f>IF(DAY(AprSun1)=1,IF(AND(YEAR(AprSun1+18)=CalendarYear,MONTH(AprSun1+18)=4),AprSun1+18,""),IF(AND(YEAR(AprSun1+25)=CalendarYear,MONTH(AprSun1+25)=4),AprSun1+25,""))</f>
        <v>46135</v>
      </c>
      <c r="G17" s="10">
        <f>IF(DAY(AprSun1)=1,IF(AND(YEAR(AprSun1+19)=CalendarYear,MONTH(AprSun1+19)=4),AprSun1+19,""),IF(AND(YEAR(AprSun1+26)=CalendarYear,MONTH(AprSun1+26)=4),AprSun1+26,""))</f>
        <v>46136</v>
      </c>
      <c r="H17" s="10">
        <f>IF(DAY(AprSun1)=1,IF(AND(YEAR(AprSun1+20)=CalendarYear,MONTH(AprSun1+20)=4),AprSun1+20,""),IF(AND(YEAR(AprSun1+27)=CalendarYear,MONTH(AprSun1+27)=4),AprSun1+27,""))</f>
        <v>46137</v>
      </c>
      <c r="I17" s="10">
        <f>IF(DAY(AprSun1)=1,IF(AND(YEAR(AprSun1+21)=CalendarYear,MONTH(AprSun1+21)=4),AprSun1+21,""),IF(AND(YEAR(AprSun1+28)=CalendarYear,MONTH(AprSun1+28)=4),AprSun1+28,""))</f>
        <v>46138</v>
      </c>
      <c r="J17" s="10"/>
      <c r="K17" s="10">
        <f>IF(DAY(MaySun1)=1,IF(AND(YEAR(MaySun1+15)=CalendarYear,MONTH(MaySun1+15)=5),MaySun1+15,""),IF(AND(YEAR(MaySun1+22)=CalendarYear,MONTH(MaySun1+22)=5),MaySun1+22,""))</f>
        <v>46160</v>
      </c>
      <c r="L17" s="10">
        <f>IF(DAY(MaySun1)=1,IF(AND(YEAR(MaySun1+16)=CalendarYear,MONTH(MaySun1+16)=5),MaySun1+16,""),IF(AND(YEAR(MaySun1+23)=CalendarYear,MONTH(MaySun1+23)=5),MaySun1+23,""))</f>
        <v>46161</v>
      </c>
      <c r="M17" s="10">
        <f>IF(DAY(MaySun1)=1,IF(AND(YEAR(MaySun1+17)=CalendarYear,MONTH(MaySun1+17)=5),MaySun1+17,""),IF(AND(YEAR(MaySun1+24)=CalendarYear,MONTH(MaySun1+24)=5),MaySun1+24,""))</f>
        <v>46162</v>
      </c>
      <c r="N17" s="10">
        <f>IF(DAY(MaySun1)=1,IF(AND(YEAR(MaySun1+18)=CalendarYear,MONTH(MaySun1+18)=5),MaySun1+18,""),IF(AND(YEAR(MaySun1+25)=CalendarYear,MONTH(MaySun1+25)=5),MaySun1+25,""))</f>
        <v>46163</v>
      </c>
      <c r="O17" s="10">
        <f>IF(DAY(MaySun1)=1,IF(AND(YEAR(MaySun1+19)=CalendarYear,MONTH(MaySun1+19)=5),MaySun1+19,""),IF(AND(YEAR(MaySun1+26)=CalendarYear,MONTH(MaySun1+26)=5),MaySun1+26,""))</f>
        <v>46164</v>
      </c>
      <c r="P17" s="10">
        <f>IF(DAY(MaySun1)=1,IF(AND(YEAR(MaySun1+20)=CalendarYear,MONTH(MaySun1+20)=5),MaySun1+20,""),IF(AND(YEAR(MaySun1+27)=CalendarYear,MONTH(MaySun1+27)=5),MaySun1+27,""))</f>
        <v>46165</v>
      </c>
      <c r="Q17" s="10">
        <f>IF(DAY(MaySun1)=1,IF(AND(YEAR(MaySun1+21)=CalendarYear,MONTH(MaySun1+21)=5),MaySun1+21,""),IF(AND(YEAR(MaySun1+28)=CalendarYear,MONTH(MaySun1+28)=5),MaySun1+28,""))</f>
        <v>46166</v>
      </c>
      <c r="R17" s="2"/>
      <c r="S17" s="29">
        <f>IF(DAY(JunSun1)=1,IF(AND(YEAR(JunSun1+15)=CalendarYear,MONTH(JunSun1+15)=6),JunSun1+15,""),IF(AND(YEAR(JunSun1+22)=CalendarYear,MONTH(JunSun1+22)=6),JunSun1+22,""))</f>
        <v>46195</v>
      </c>
      <c r="T17" s="10">
        <f>IF(DAY(JunSun1)=1,IF(AND(YEAR(JunSun1+16)=CalendarYear,MONTH(JunSun1+16)=6),JunSun1+16,""),IF(AND(YEAR(JunSun1+23)=CalendarYear,MONTH(JunSun1+23)=6),JunSun1+23,""))</f>
        <v>46196</v>
      </c>
      <c r="U17" s="10">
        <f>IF(DAY(JunSun1)=1,IF(AND(YEAR(JunSun1+17)=CalendarYear,MONTH(JunSun1+17)=6),JunSun1+17,""),IF(AND(YEAR(JunSun1+24)=CalendarYear,MONTH(JunSun1+24)=6),JunSun1+24,""))</f>
        <v>46197</v>
      </c>
      <c r="V17" s="13">
        <f>IF(DAY(JunSun1)=1,IF(AND(YEAR(JunSun1+18)=CalendarYear,MONTH(JunSun1+18)=6),JunSun1+18,""),IF(AND(YEAR(JunSun1+25)=CalendarYear,MONTH(JunSun1+25)=6),JunSun1+25,""))</f>
        <v>46198</v>
      </c>
      <c r="W17" s="10">
        <f>IF(DAY(JunSun1)=1,IF(AND(YEAR(JunSun1+19)=CalendarYear,MONTH(JunSun1+19)=6),JunSun1+19,""),IF(AND(YEAR(JunSun1+26)=CalendarYear,MONTH(JunSun1+26)=6),JunSun1+26,""))</f>
        <v>46199</v>
      </c>
      <c r="X17" s="10">
        <f>IF(DAY(JunSun1)=1,IF(AND(YEAR(JunSun1+20)=CalendarYear,MONTH(JunSun1+20)=6),JunSun1+20,""),IF(AND(YEAR(JunSun1+27)=CalendarYear,MONTH(JunSun1+27)=6),JunSun1+27,""))</f>
        <v>46200</v>
      </c>
      <c r="Y17" s="27">
        <f>IF(DAY(JunSun1)=1,IF(AND(YEAR(JunSun1+21)=CalendarYear,MONTH(JunSun1+21)=6),JunSun1+21,""),IF(AND(YEAR(JunSun1+28)=CalendarYear,MONTH(JunSun1+28)=6),JunSun1+28,""))</f>
        <v>46201</v>
      </c>
      <c r="AA17" s="84"/>
      <c r="AJ17" s="2"/>
    </row>
    <row r="18" spans="1:36" ht="15" customHeight="1" x14ac:dyDescent="0.2">
      <c r="B18" s="2"/>
      <c r="C18" s="17">
        <f>IF(DAY(AprSun1)=1,IF(AND(YEAR(AprSun1+22)=CalendarYear,MONTH(AprSun1+22)=4),AprSun1+22,""),IF(AND(YEAR(AprSun1+29)=CalendarYear,MONTH(AprSun1+29)=4),AprSun1+29,""))</f>
        <v>46139</v>
      </c>
      <c r="D18" s="10">
        <f>IF(DAY(AprSun1)=1,IF(AND(YEAR(AprSun1+23)=CalendarYear,MONTH(AprSun1+23)=4),AprSun1+23,""),IF(AND(YEAR(AprSun1+30)=CalendarYear,MONTH(AprSun1+30)=4),AprSun1+30,""))</f>
        <v>46140</v>
      </c>
      <c r="E18" s="10">
        <f>IF(DAY(AprSun1)=1,IF(AND(YEAR(AprSun1+24)=CalendarYear,MONTH(AprSun1+24)=4),AprSun1+24,""),IF(AND(YEAR(AprSun1+31)=CalendarYear,MONTH(AprSun1+31)=4),AprSun1+31,""))</f>
        <v>46141</v>
      </c>
      <c r="F18" s="10">
        <f>IF(DAY(AprSun1)=1,IF(AND(YEAR(AprSun1+25)=CalendarYear,MONTH(AprSun1+25)=4),AprSun1+25,""),IF(AND(YEAR(AprSun1+32)=CalendarYear,MONTH(AprSun1+32)=4),AprSun1+32,""))</f>
        <v>46142</v>
      </c>
      <c r="G18" s="10" t="str">
        <f>IF(DAY(AprSun1)=1,IF(AND(YEAR(AprSun1+26)=CalendarYear,MONTH(AprSun1+26)=4),AprSun1+26,""),IF(AND(YEAR(AprSun1+33)=CalendarYear,MONTH(AprSun1+33)=4),AprSun1+33,""))</f>
        <v/>
      </c>
      <c r="H18" s="10" t="str">
        <f>IF(DAY(AprSun1)=1,IF(AND(YEAR(AprSun1+27)=CalendarYear,MONTH(AprSun1+27)=4),AprSun1+27,""),IF(AND(YEAR(AprSun1+34)=CalendarYear,MONTH(AprSun1+34)=4),AprSun1+34,""))</f>
        <v/>
      </c>
      <c r="I18" s="10" t="str">
        <f>IF(DAY(AprSun1)=1,IF(AND(YEAR(AprSun1+28)=CalendarYear,MONTH(AprSun1+28)=4),AprSun1+28,""),IF(AND(YEAR(AprSun1+35)=CalendarYear,MONTH(AprSun1+35)=4),AprSun1+35,""))</f>
        <v/>
      </c>
      <c r="J18" s="10"/>
      <c r="K18" s="10">
        <f>IF(DAY(MaySun1)=1,IF(AND(YEAR(MaySun1+22)=CalendarYear,MONTH(MaySun1+22)=5),MaySun1+22,""),IF(AND(YEAR(MaySun1+29)=CalendarYear,MONTH(MaySun1+29)=5),MaySun1+29,""))</f>
        <v>46167</v>
      </c>
      <c r="L18" s="10">
        <f>IF(DAY(MaySun1)=1,IF(AND(YEAR(MaySun1+23)=CalendarYear,MONTH(MaySun1+23)=5),MaySun1+23,""),IF(AND(YEAR(MaySun1+30)=CalendarYear,MONTH(MaySun1+30)=5),MaySun1+30,""))</f>
        <v>46168</v>
      </c>
      <c r="M18" s="10">
        <f>IF(DAY(MaySun1)=1,IF(AND(YEAR(MaySun1+24)=CalendarYear,MONTH(MaySun1+24)=5),MaySun1+24,""),IF(AND(YEAR(MaySun1+31)=CalendarYear,MONTH(MaySun1+31)=5),MaySun1+31,""))</f>
        <v>46169</v>
      </c>
      <c r="N18" s="10">
        <f>IF(DAY(MaySun1)=1,IF(AND(YEAR(MaySun1+25)=CalendarYear,MONTH(MaySun1+25)=5),MaySun1+25,""),IF(AND(YEAR(MaySun1+32)=CalendarYear,MONTH(MaySun1+32)=5),MaySun1+32,""))</f>
        <v>46170</v>
      </c>
      <c r="O18" s="10">
        <f>IF(DAY(MaySun1)=1,IF(AND(YEAR(MaySun1+26)=CalendarYear,MONTH(MaySun1+26)=5),MaySun1+26,""),IF(AND(YEAR(MaySun1+33)=CalendarYear,MONTH(MaySun1+33)=5),MaySun1+33,""))</f>
        <v>46171</v>
      </c>
      <c r="P18" s="10">
        <f>IF(DAY(MaySun1)=1,IF(AND(YEAR(MaySun1+27)=CalendarYear,MONTH(MaySun1+27)=5),MaySun1+27,""),IF(AND(YEAR(MaySun1+34)=CalendarYear,MONTH(MaySun1+34)=5),MaySun1+34,""))</f>
        <v>46172</v>
      </c>
      <c r="Q18" s="10">
        <f>IF(DAY(MaySun1)=1,IF(AND(YEAR(MaySun1+28)=CalendarYear,MONTH(MaySun1+28)=5),MaySun1+28,""),IF(AND(YEAR(MaySun1+35)=CalendarYear,MONTH(MaySun1+35)=5),MaySun1+35,""))</f>
        <v>46173</v>
      </c>
      <c r="R18" s="2"/>
      <c r="S18" s="10">
        <f>IF(DAY(JunSun1)=1,IF(AND(YEAR(JunSun1+22)=CalendarYear,MONTH(JunSun1+22)=6),JunSun1+22,""),IF(AND(YEAR(JunSun1+29)=CalendarYear,MONTH(JunSun1+29)=6),JunSun1+29,""))</f>
        <v>46202</v>
      </c>
      <c r="T18" s="30">
        <f>IF(DAY(JunSun1)=1,IF(AND(YEAR(JunSun1+23)=CalendarYear,MONTH(JunSun1+23)=6),JunSun1+23,""),IF(AND(YEAR(JunSun1+30)=CalendarYear,MONTH(JunSun1+30)=6),JunSun1+30,""))</f>
        <v>46203</v>
      </c>
      <c r="U18" s="10" t="str">
        <f>IF(DAY(JunSun1)=1,IF(AND(YEAR(JunSun1+24)=CalendarYear,MONTH(JunSun1+24)=6),JunSun1+24,""),IF(AND(YEAR(JunSun1+31)=CalendarYear,MONTH(JunSun1+31)=6),JunSun1+31,""))</f>
        <v/>
      </c>
      <c r="V18" s="10" t="str">
        <f>IF(DAY(JunSun1)=1,IF(AND(YEAR(JunSun1+25)=CalendarYear,MONTH(JunSun1+25)=6),JunSun1+25,""),IF(AND(YEAR(JunSun1+32)=CalendarYear,MONTH(JunSun1+32)=6),JunSun1+32,""))</f>
        <v/>
      </c>
      <c r="W18" s="10" t="str">
        <f>IF(DAY(JunSun1)=1,IF(AND(YEAR(JunSun1+26)=CalendarYear,MONTH(JunSun1+26)=6),JunSun1+26,""),IF(AND(YEAR(JunSun1+33)=CalendarYear,MONTH(JunSun1+33)=6),JunSun1+33,""))</f>
        <v/>
      </c>
      <c r="X18" s="10" t="str">
        <f>IF(DAY(JunSun1)=1,IF(AND(YEAR(JunSun1+27)=CalendarYear,MONTH(JunSun1+27)=6),JunSun1+27,""),IF(AND(YEAR(JunSun1+34)=CalendarYear,MONTH(JunSun1+34)=6),JunSun1+34,""))</f>
        <v/>
      </c>
      <c r="Y18" s="27" t="str">
        <f>IF(DAY(JunSun1)=1,IF(AND(YEAR(JunSun1+28)=CalendarYear,MONTH(JunSun1+28)=6),JunSun1+28,""),IF(AND(YEAR(JunSun1+35)=CalendarYear,MONTH(JunSun1+35)=6),JunSun1+35,""))</f>
        <v/>
      </c>
      <c r="AA18" s="31" t="s">
        <v>32</v>
      </c>
      <c r="AB18" s="35"/>
      <c r="AJ18" s="2"/>
    </row>
    <row r="19" spans="1:36" ht="15" customHeight="1" x14ac:dyDescent="0.2">
      <c r="B19" s="2"/>
      <c r="C19" s="17" t="str">
        <f>IF(DAY(AprSun1)=1,IF(AND(YEAR(AprSun1+29)=CalendarYear,MONTH(AprSun1+29)=4),AprSun1+29,""),IF(AND(YEAR(AprSun1+36)=CalendarYear,MONTH(AprSun1+36)=4),AprSun1+36,""))</f>
        <v/>
      </c>
      <c r="D19" s="10" t="str">
        <f>IF(DAY(AprSun1)=1,IF(AND(YEAR(AprSun1+30)=CalendarYear,MONTH(AprSun1+30)=4),AprSun1+30,""),IF(AND(YEAR(AprSun1+37)=CalendarYear,MONTH(AprSun1+37)=4),AprSun1+37,""))</f>
        <v/>
      </c>
      <c r="E19" s="10" t="str">
        <f>IF(DAY(AprSun1)=1,IF(AND(YEAR(AprSun1+31)=CalendarYear,MONTH(AprSun1+31)=4),AprSun1+31,""),IF(AND(YEAR(AprSun1+38)=CalendarYear,MONTH(AprSun1+38)=4),AprSun1+38,""))</f>
        <v/>
      </c>
      <c r="F19" s="10" t="str">
        <f>IF(DAY(AprSun1)=1,IF(AND(YEAR(AprSun1+32)=CalendarYear,MONTH(AprSun1+32)=4),AprSun1+32,""),IF(AND(YEAR(AprSun1+39)=CalendarYear,MONTH(AprSun1+39)=4),AprSun1+39,""))</f>
        <v/>
      </c>
      <c r="G19" s="10" t="str">
        <f>IF(DAY(AprSun1)=1,IF(AND(YEAR(AprSun1+33)=CalendarYear,MONTH(AprSun1+33)=4),AprSun1+33,""),IF(AND(YEAR(AprSun1+40)=CalendarYear,MONTH(AprSun1+40)=4),AprSun1+40,""))</f>
        <v/>
      </c>
      <c r="H19" s="10" t="str">
        <f>IF(DAY(AprSun1)=1,IF(AND(YEAR(AprSun1+34)=CalendarYear,MONTH(AprSun1+34)=4),AprSun1+34,""),IF(AND(YEAR(AprSun1+41)=CalendarYear,MONTH(AprSun1+41)=4),AprSun1+41,""))</f>
        <v/>
      </c>
      <c r="I19" s="10" t="str">
        <f>IF(DAY(AprSun1)=1,IF(AND(YEAR(AprSun1+35)=CalendarYear,MONTH(AprSun1+35)=4),AprSun1+35,""),IF(AND(YEAR(AprSun1+42)=CalendarYear,MONTH(AprSun1+42)=4),AprSun1+42,""))</f>
        <v/>
      </c>
      <c r="J19" s="10"/>
      <c r="K19" s="10" t="str">
        <f>IF(DAY(MaySun1)=1,IF(AND(YEAR(MaySun1+29)=CalendarYear,MONTH(MaySun1+29)=5),MaySun1+29,""),IF(AND(YEAR(MaySun1+36)=CalendarYear,MONTH(MaySun1+36)=5),MaySun1+36,""))</f>
        <v/>
      </c>
      <c r="L19" s="10" t="str">
        <f>IF(DAY(MaySun1)=1,IF(AND(YEAR(MaySun1+30)=CalendarYear,MONTH(MaySun1+30)=5),MaySun1+30,""),IF(AND(YEAR(MaySun1+37)=CalendarYear,MONTH(MaySun1+37)=5),MaySun1+37,""))</f>
        <v/>
      </c>
      <c r="M19" s="10" t="str">
        <f>IF(DAY(MaySun1)=1,IF(AND(YEAR(MaySun1+31)=CalendarYear,MONTH(MaySun1+31)=5),MaySun1+31,""),IF(AND(YEAR(MaySun1+38)=CalendarYear,MONTH(MaySun1+38)=5),MaySun1+38,""))</f>
        <v/>
      </c>
      <c r="N19" s="10" t="str">
        <f>IF(DAY(MaySun1)=1,IF(AND(YEAR(MaySun1+32)=CalendarYear,MONTH(MaySun1+32)=5),MaySun1+32,""),IF(AND(YEAR(MaySun1+39)=CalendarYear,MONTH(MaySun1+39)=5),MaySun1+39,""))</f>
        <v/>
      </c>
      <c r="O19" s="10" t="str">
        <f>IF(DAY(MaySun1)=1,IF(AND(YEAR(MaySun1+33)=CalendarYear,MONTH(MaySun1+33)=5),MaySun1+33,""),IF(AND(YEAR(MaySun1+40)=CalendarYear,MONTH(MaySun1+40)=5),MaySun1+40,""))</f>
        <v/>
      </c>
      <c r="P19" s="10" t="str">
        <f>IF(DAY(MaySun1)=1,IF(AND(YEAR(MaySun1+34)=CalendarYear,MONTH(MaySun1+34)=5),MaySun1+34,""),IF(AND(YEAR(MaySun1+41)=CalendarYear,MONTH(MaySun1+41)=5),MaySun1+41,""))</f>
        <v/>
      </c>
      <c r="Q19" s="10" t="str">
        <f>IF(DAY(MaySun1)=1,IF(AND(YEAR(MaySun1+35)=CalendarYear,MONTH(MaySun1+35)=5),MaySun1+35,""),IF(AND(YEAR(MaySun1+42)=CalendarYear,MONTH(MaySun1+42)=5),MaySun1+42,""))</f>
        <v/>
      </c>
      <c r="R19" s="2"/>
      <c r="S19" s="10" t="str">
        <f>IF(DAY(JunSun1)=1,IF(AND(YEAR(JunSun1+29)=CalendarYear,MONTH(JunSun1+29)=6),JunSun1+29,""),IF(AND(YEAR(JunSun1+36)=CalendarYear,MONTH(JunSun1+36)=6),JunSun1+36,""))</f>
        <v/>
      </c>
      <c r="T19" s="10" t="str">
        <f>IF(DAY(JunSun1)=1,IF(AND(YEAR(JunSun1+30)=CalendarYear,MONTH(JunSun1+30)=6),JunSun1+30,""),IF(AND(YEAR(JunSun1+37)=CalendarYear,MONTH(JunSun1+37)=6),JunSun1+37,""))</f>
        <v/>
      </c>
      <c r="U19" s="10" t="str">
        <f>IF(DAY(JunSun1)=1,IF(AND(YEAR(JunSun1+31)=CalendarYear,MONTH(JunSun1+31)=6),JunSun1+31,""),IF(AND(YEAR(JunSun1+38)=CalendarYear,MONTH(JunSun1+38)=6),JunSun1+38,""))</f>
        <v/>
      </c>
      <c r="V19" s="10" t="str">
        <f>IF(DAY(JunSun1)=1,IF(AND(YEAR(JunSun1+32)=CalendarYear,MONTH(JunSun1+32)=6),JunSun1+32,""),IF(AND(YEAR(JunSun1+39)=CalendarYear,MONTH(JunSun1+39)=6),JunSun1+39,""))</f>
        <v/>
      </c>
      <c r="W19" s="10" t="str">
        <f>IF(DAY(JunSun1)=1,IF(AND(YEAR(JunSun1+33)=CalendarYear,MONTH(JunSun1+33)=6),JunSun1+33,""),IF(AND(YEAR(JunSun1+40)=CalendarYear,MONTH(JunSun1+40)=6),JunSun1+40,""))</f>
        <v/>
      </c>
      <c r="X19" s="10" t="str">
        <f>IF(DAY(JunSun1)=1,IF(AND(YEAR(JunSun1+34)=CalendarYear,MONTH(JunSun1+34)=6),JunSun1+34,""),IF(AND(YEAR(JunSun1+41)=CalendarYear,MONTH(JunSun1+41)=6),JunSun1+41,""))</f>
        <v/>
      </c>
      <c r="Y19" s="27" t="str">
        <f>IF(DAY(JunSun1)=1,IF(AND(YEAR(JunSun1+35)=CalendarYear,MONTH(JunSun1+35)=6),JunSun1+35,""),IF(AND(YEAR(JunSun1+42)=CalendarYear,MONTH(JunSun1+42)=6),JunSun1+42,""))</f>
        <v/>
      </c>
      <c r="AA19" s="85" t="s">
        <v>27</v>
      </c>
      <c r="AB19" s="85"/>
      <c r="AJ19" s="2"/>
    </row>
    <row r="20" spans="1:36" ht="15" customHeight="1" x14ac:dyDescent="0.2">
      <c r="A20" s="6"/>
      <c r="B20" s="2"/>
      <c r="C20" s="75" t="s">
        <v>4</v>
      </c>
      <c r="D20" s="76"/>
      <c r="E20" s="76"/>
      <c r="F20" s="76"/>
      <c r="G20" s="76"/>
      <c r="H20" s="76"/>
      <c r="I20" s="76"/>
      <c r="J20" s="22"/>
      <c r="K20" s="76" t="s">
        <v>16</v>
      </c>
      <c r="L20" s="76"/>
      <c r="M20" s="76"/>
      <c r="N20" s="76"/>
      <c r="O20" s="76"/>
      <c r="P20" s="76"/>
      <c r="Q20" s="76"/>
      <c r="R20" s="2"/>
      <c r="S20" s="76" t="s">
        <v>5</v>
      </c>
      <c r="T20" s="76"/>
      <c r="U20" s="76"/>
      <c r="V20" s="76"/>
      <c r="W20" s="76"/>
      <c r="X20" s="76"/>
      <c r="Y20" s="77"/>
      <c r="AA20" s="84"/>
      <c r="AB20" s="84"/>
      <c r="AF20" s="9"/>
      <c r="AG20" s="9"/>
      <c r="AH20" s="9"/>
      <c r="AI20" s="9"/>
      <c r="AJ20" s="2"/>
    </row>
    <row r="21" spans="1:36" ht="15" customHeight="1" x14ac:dyDescent="0.2">
      <c r="A21" s="6"/>
      <c r="B21" s="2"/>
      <c r="C21" s="16" t="s">
        <v>1</v>
      </c>
      <c r="D21" s="4" t="s">
        <v>7</v>
      </c>
      <c r="E21" s="4" t="s">
        <v>8</v>
      </c>
      <c r="F21" s="4" t="s">
        <v>9</v>
      </c>
      <c r="G21" s="4" t="s">
        <v>10</v>
      </c>
      <c r="H21" s="4" t="s">
        <v>11</v>
      </c>
      <c r="I21" s="4" t="s">
        <v>12</v>
      </c>
      <c r="J21" s="9"/>
      <c r="K21" s="4" t="s">
        <v>1</v>
      </c>
      <c r="L21" s="4" t="s">
        <v>7</v>
      </c>
      <c r="M21" s="4" t="s">
        <v>8</v>
      </c>
      <c r="N21" s="4" t="s">
        <v>9</v>
      </c>
      <c r="O21" s="4" t="s">
        <v>10</v>
      </c>
      <c r="P21" s="4" t="s">
        <v>11</v>
      </c>
      <c r="Q21" s="4" t="s">
        <v>12</v>
      </c>
      <c r="R21" s="2"/>
      <c r="S21" s="4" t="s">
        <v>1</v>
      </c>
      <c r="T21" s="4" t="s">
        <v>7</v>
      </c>
      <c r="U21" s="4" t="s">
        <v>8</v>
      </c>
      <c r="V21" s="4" t="s">
        <v>9</v>
      </c>
      <c r="W21" s="4" t="s">
        <v>10</v>
      </c>
      <c r="X21" s="4" t="s">
        <v>11</v>
      </c>
      <c r="Y21" s="26" t="s">
        <v>12</v>
      </c>
      <c r="AA21" s="84"/>
      <c r="AB21" s="84"/>
      <c r="AE21" s="9"/>
      <c r="AJ21" s="2"/>
    </row>
    <row r="22" spans="1:36" ht="15" customHeight="1" x14ac:dyDescent="0.25">
      <c r="A22" s="6"/>
      <c r="B22" s="2"/>
      <c r="C22" s="17" t="str">
        <f>IF(DAY(JulSun1)=1,"",IF(AND(YEAR(JulSun1+1)=CalendarYear,MONTH(JulSun1+1)=7),JulSun1+1,""))</f>
        <v/>
      </c>
      <c r="D22" s="10" t="str">
        <f>IF(DAY(JulSun1)=1,"",IF(AND(YEAR(JulSun1+2)=CalendarYear,MONTH(JulSun1+2)=7),JulSun1+2,""))</f>
        <v/>
      </c>
      <c r="E22" s="23">
        <f>IF(DAY(JulSun1)=1,"",IF(AND(YEAR(JulSun1+3)=CalendarYear,MONTH(JulSun1+3)=7),JulSun1+3,""))</f>
        <v>46204</v>
      </c>
      <c r="F22" s="10">
        <f>IF(DAY(JulSun1)=1,"",IF(AND(YEAR(JulSun1+4)=CalendarYear,MONTH(JulSun1+4)=7),JulSun1+4,""))</f>
        <v>46205</v>
      </c>
      <c r="G22" s="10">
        <f>IF(DAY(JulSun1)=1,"",IF(AND(YEAR(JulSun1+5)=CalendarYear,MONTH(JulSun1+5)=7),JulSun1+5,""))</f>
        <v>46206</v>
      </c>
      <c r="H22" s="10">
        <f>IF(DAY(JulSun1)=1,"",IF(AND(YEAR(JulSun1+6)=CalendarYear,MONTH(JulSun1+6)=7),JulSun1+6,""))</f>
        <v>46207</v>
      </c>
      <c r="I22" s="10">
        <f>IF(DAY(JulSun1)=1,IF(AND(YEAR(JulSun1)=CalendarYear,MONTH(JulSun1)=7),JulSun1,""),IF(AND(YEAR(JulSun1+7)=CalendarYear,MONTH(JulSun1+7)=7),JulSun1+7,""))</f>
        <v>46208</v>
      </c>
      <c r="J22" s="3"/>
      <c r="K22" s="10" t="str">
        <f>IF(DAY(AugSun1)=1,"",IF(AND(YEAR(AugSun1+1)=CalendarYear,MONTH(AugSun1+1)=8),AugSun1+1,""))</f>
        <v/>
      </c>
      <c r="L22" s="10" t="str">
        <f>IF(DAY(AugSun1)=1,"",IF(AND(YEAR(AugSun1+2)=CalendarYear,MONTH(AugSun1+2)=8),AugSun1+2,""))</f>
        <v/>
      </c>
      <c r="M22" s="10" t="str">
        <f>IF(DAY(AugSun1)=1,"",IF(AND(YEAR(AugSun1+3)=CalendarYear,MONTH(AugSun1+3)=8),AugSun1+3,""))</f>
        <v/>
      </c>
      <c r="N22" s="10" t="str">
        <f>IF(DAY(AugSun1)=1,"",IF(AND(YEAR(AugSun1+4)=CalendarYear,MONTH(AugSun1+4)=8),AugSun1+4,""))</f>
        <v/>
      </c>
      <c r="O22" s="10" t="str">
        <f>IF(DAY(AugSun1)=1,"",IF(AND(YEAR(AugSun1+5)=CalendarYear,MONTH(AugSun1+5)=8),AugSun1+5,""))</f>
        <v/>
      </c>
      <c r="P22" s="10">
        <f>IF(DAY(AugSun1)=1,"",IF(AND(YEAR(AugSun1+6)=CalendarYear,MONTH(AugSun1+6)=8),AugSun1+6,""))</f>
        <v>46235</v>
      </c>
      <c r="Q22" s="10">
        <f>IF(DAY(AugSun1)=1,IF(AND(YEAR(AugSun1)=CalendarYear,MONTH(AugSun1)=8),AugSun1,""),IF(AND(YEAR(AugSun1+7)=CalendarYear,MONTH(AugSun1+7)=8),AugSun1+7,""))</f>
        <v>46236</v>
      </c>
      <c r="R22" s="2"/>
      <c r="S22" s="10" t="str">
        <f>IF(DAY(SepSun1)=1,"",IF(AND(YEAR(SepSun1+1)=CalendarYear,MONTH(SepSun1+1)=9),SepSun1+1,""))</f>
        <v/>
      </c>
      <c r="T22" s="10">
        <f>IF(DAY(SepSun1)=1,"",IF(AND(YEAR(SepSun1+2)=CalendarYear,MONTH(SepSun1+2)=9),SepSun1+2,""))</f>
        <v>46266</v>
      </c>
      <c r="U22" s="10">
        <f>IF(DAY(SepSun1)=1,"",IF(AND(YEAR(SepSun1+3)=CalendarYear,MONTH(SepSun1+3)=9),SepSun1+3,""))</f>
        <v>46267</v>
      </c>
      <c r="V22" s="10">
        <f>IF(DAY(SepSun1)=1,"",IF(AND(YEAR(SepSun1+4)=CalendarYear,MONTH(SepSun1+4)=9),SepSun1+4,""))</f>
        <v>46268</v>
      </c>
      <c r="W22" s="10">
        <f>IF(DAY(SepSun1)=1,"",IF(AND(YEAR(SepSun1+5)=CalendarYear,MONTH(SepSun1+5)=9),SepSun1+5,""))</f>
        <v>46269</v>
      </c>
      <c r="X22" s="10">
        <f>IF(DAY(SepSun1)=1,"",IF(AND(YEAR(SepSun1+6)=CalendarYear,MONTH(SepSun1+6)=9),SepSun1+6,""))</f>
        <v>46270</v>
      </c>
      <c r="Y22" s="27">
        <f>IF(DAY(SepSun1)=1,IF(AND(YEAR(SepSun1)=CalendarYear,MONTH(SepSun1)=9),SepSun1,""),IF(AND(YEAR(SepSun1+7)=CalendarYear,MONTH(SepSun1+7)=9),SepSun1+7,""))</f>
        <v>46271</v>
      </c>
      <c r="AA22" s="84"/>
      <c r="AB22" s="84"/>
      <c r="AJ22" s="2"/>
    </row>
    <row r="23" spans="1:36" ht="15" customHeight="1" x14ac:dyDescent="0.2">
      <c r="B23" s="2"/>
      <c r="C23" s="17">
        <f>IF(DAY(JulSun1)=1,IF(AND(YEAR(JulSun1+1)=CalendarYear,MONTH(JulSun1+1)=7),JulSun1+1,""),IF(AND(YEAR(JulSun1+8)=CalendarYear,MONTH(JulSun1+8)=7),JulSun1+8,""))</f>
        <v>46209</v>
      </c>
      <c r="D23" s="10">
        <f>IF(DAY(JulSun1)=1,IF(AND(YEAR(JulSun1+2)=CalendarYear,MONTH(JulSun1+2)=7),JulSun1+2,""),IF(AND(YEAR(JulSun1+9)=CalendarYear,MONTH(JulSun1+9)=7),JulSun1+9,""))</f>
        <v>46210</v>
      </c>
      <c r="E23" s="10">
        <f>IF(DAY(JulSun1)=1,IF(AND(YEAR(JulSun1+3)=CalendarYear,MONTH(JulSun1+3)=7),JulSun1+3,""),IF(AND(YEAR(JulSun1+10)=CalendarYear,MONTH(JulSun1+10)=7),JulSun1+10,""))</f>
        <v>46211</v>
      </c>
      <c r="F23" s="10">
        <f>IF(DAY(JulSun1)=1,IF(AND(YEAR(JulSun1+4)=CalendarYear,MONTH(JulSun1+4)=7),JulSun1+4,""),IF(AND(YEAR(JulSun1+11)=CalendarYear,MONTH(JulSun1+11)=7),JulSun1+11,""))</f>
        <v>46212</v>
      </c>
      <c r="G23" s="10">
        <f>IF(DAY(JulSun1)=1,IF(AND(YEAR(JulSun1+5)=CalendarYear,MONTH(JulSun1+5)=7),JulSun1+5,""),IF(AND(YEAR(JulSun1+12)=CalendarYear,MONTH(JulSun1+12)=7),JulSun1+12,""))</f>
        <v>46213</v>
      </c>
      <c r="H23" s="10">
        <f>IF(DAY(JulSun1)=1,IF(AND(YEAR(JulSun1+6)=CalendarYear,MONTH(JulSun1+6)=7),JulSun1+6,""),IF(AND(YEAR(JulSun1+13)=CalendarYear,MONTH(JulSun1+13)=7),JulSun1+13,""))</f>
        <v>46214</v>
      </c>
      <c r="I23" s="10">
        <f>IF(DAY(JulSun1)=1,IF(AND(YEAR(JulSun1+7)=CalendarYear,MONTH(JulSun1+7)=7),JulSun1+7,""),IF(AND(YEAR(JulSun1+14)=CalendarYear,MONTH(JulSun1+14)=7),JulSun1+14,""))</f>
        <v>46215</v>
      </c>
      <c r="J23" s="8"/>
      <c r="K23" s="10">
        <f>IF(DAY(AugSun1)=1,IF(AND(YEAR(AugSun1+1)=CalendarYear,MONTH(AugSun1+1)=8),AugSun1+1,""),IF(AND(YEAR(AugSun1+8)=CalendarYear,MONTH(AugSun1+8)=8),AugSun1+8,""))</f>
        <v>46237</v>
      </c>
      <c r="L23" s="10">
        <f>IF(DAY(AugSun1)=1,IF(AND(YEAR(AugSun1+2)=CalendarYear,MONTH(AugSun1+2)=8),AugSun1+2,""),IF(AND(YEAR(AugSun1+9)=CalendarYear,MONTH(AugSun1+9)=8),AugSun1+9,""))</f>
        <v>46238</v>
      </c>
      <c r="M23" s="10">
        <f>IF(DAY(AugSun1)=1,IF(AND(YEAR(AugSun1+3)=CalendarYear,MONTH(AugSun1+3)=8),AugSun1+3,""),IF(AND(YEAR(AugSun1+10)=CalendarYear,MONTH(AugSun1+10)=8),AugSun1+10,""))</f>
        <v>46239</v>
      </c>
      <c r="N23" s="10">
        <f>IF(DAY(AugSun1)=1,IF(AND(YEAR(AugSun1+4)=CalendarYear,MONTH(AugSun1+4)=8),AugSun1+4,""),IF(AND(YEAR(AugSun1+11)=CalendarYear,MONTH(AugSun1+11)=8),AugSun1+11,""))</f>
        <v>46240</v>
      </c>
      <c r="O23" s="10">
        <f>IF(DAY(AugSun1)=1,IF(AND(YEAR(AugSun1+5)=CalendarYear,MONTH(AugSun1+5)=8),AugSun1+5,""),IF(AND(YEAR(AugSun1+12)=CalendarYear,MONTH(AugSun1+12)=8),AugSun1+12,""))</f>
        <v>46241</v>
      </c>
      <c r="P23" s="10">
        <f>IF(DAY(AugSun1)=1,IF(AND(YEAR(AugSun1+6)=CalendarYear,MONTH(AugSun1+6)=8),AugSun1+6,""),IF(AND(YEAR(AugSun1+13)=CalendarYear,MONTH(AugSun1+13)=8),AugSun1+13,""))</f>
        <v>46242</v>
      </c>
      <c r="Q23" s="10">
        <f>IF(DAY(AugSun1)=1,IF(AND(YEAR(AugSun1+7)=CalendarYear,MONTH(AugSun1+7)=8),AugSun1+7,""),IF(AND(YEAR(AugSun1+14)=CalendarYear,MONTH(AugSun1+14)=8),AugSun1+14,""))</f>
        <v>46243</v>
      </c>
      <c r="R23" s="2"/>
      <c r="S23" s="10">
        <f>IF(DAY(SepSun1)=1,IF(AND(YEAR(SepSun1+1)=CalendarYear,MONTH(SepSun1+1)=9),SepSun1+1,""),IF(AND(YEAR(SepSun1+8)=CalendarYear,MONTH(SepSun1+8)=9),SepSun1+8,""))</f>
        <v>46272</v>
      </c>
      <c r="T23" s="10">
        <f>IF(DAY(SepSun1)=1,IF(AND(YEAR(SepSun1+2)=CalendarYear,MONTH(SepSun1+2)=9),SepSun1+2,""),IF(AND(YEAR(SepSun1+9)=CalendarYear,MONTH(SepSun1+9)=9),SepSun1+9,""))</f>
        <v>46273</v>
      </c>
      <c r="U23" s="10">
        <f>IF(DAY(SepSun1)=1,IF(AND(YEAR(SepSun1+3)=CalendarYear,MONTH(SepSun1+3)=9),SepSun1+3,""),IF(AND(YEAR(SepSun1+10)=CalendarYear,MONTH(SepSun1+10)=9),SepSun1+10,""))</f>
        <v>46274</v>
      </c>
      <c r="V23" s="10">
        <f>IF(DAY(SepSun1)=1,IF(AND(YEAR(SepSun1+4)=CalendarYear,MONTH(SepSun1+4)=9),SepSun1+4,""),IF(AND(YEAR(SepSun1+11)=CalendarYear,MONTH(SepSun1+11)=9),SepSun1+11,""))</f>
        <v>46275</v>
      </c>
      <c r="W23" s="10">
        <f>IF(DAY(SepSun1)=1,IF(AND(YEAR(SepSun1+5)=CalendarYear,MONTH(SepSun1+5)=9),SepSun1+5,""),IF(AND(YEAR(SepSun1+12)=CalendarYear,MONTH(SepSun1+12)=9),SepSun1+12,""))</f>
        <v>46276</v>
      </c>
      <c r="X23" s="10">
        <f>IF(DAY(SepSun1)=1,IF(AND(YEAR(SepSun1+6)=CalendarYear,MONTH(SepSun1+6)=9),SepSun1+6,""),IF(AND(YEAR(SepSun1+13)=CalendarYear,MONTH(SepSun1+13)=9),SepSun1+13,""))</f>
        <v>46277</v>
      </c>
      <c r="Y23" s="27">
        <f>IF(DAY(SepSun1)=1,IF(AND(YEAR(SepSun1+7)=CalendarYear,MONTH(SepSun1+7)=9),SepSun1+7,""),IF(AND(YEAR(SepSun1+14)=CalendarYear,MONTH(SepSun1+14)=9),SepSun1+14,""))</f>
        <v>46278</v>
      </c>
      <c r="AA23" s="84"/>
      <c r="AB23" s="84"/>
      <c r="AJ23" s="2"/>
    </row>
    <row r="24" spans="1:36" ht="15" customHeight="1" x14ac:dyDescent="0.2">
      <c r="B24" s="2"/>
      <c r="C24" s="17">
        <f>IF(DAY(JulSun1)=1,IF(AND(YEAR(JulSun1+8)=CalendarYear,MONTH(JulSun1+8)=7),JulSun1+8,""),IF(AND(YEAR(JulSun1+15)=CalendarYear,MONTH(JulSun1+15)=7),JulSun1+15,""))</f>
        <v>46216</v>
      </c>
      <c r="D24" s="10">
        <f>IF(DAY(JulSun1)=1,IF(AND(YEAR(JulSun1+9)=CalendarYear,MONTH(JulSun1+9)=7),JulSun1+9,""),IF(AND(YEAR(JulSun1+16)=CalendarYear,MONTH(JulSun1+16)=7),JulSun1+16,""))</f>
        <v>46217</v>
      </c>
      <c r="E24" s="10">
        <f>IF(DAY(JulSun1)=1,IF(AND(YEAR(JulSun1+10)=CalendarYear,MONTH(JulSun1+10)=7),JulSun1+10,""),IF(AND(YEAR(JulSun1+17)=CalendarYear,MONTH(JulSun1+17)=7),JulSun1+17,""))</f>
        <v>46218</v>
      </c>
      <c r="F24" s="10">
        <f>IF(DAY(JulSun1)=1,IF(AND(YEAR(JulSun1+11)=CalendarYear,MONTH(JulSun1+11)=7),JulSun1+11,""),IF(AND(YEAR(JulSun1+18)=CalendarYear,MONTH(JulSun1+18)=7),JulSun1+18,""))</f>
        <v>46219</v>
      </c>
      <c r="G24" s="10">
        <f>IF(DAY(JulSun1)=1,IF(AND(YEAR(JulSun1+12)=CalendarYear,MONTH(JulSun1+12)=7),JulSun1+12,""),IF(AND(YEAR(JulSun1+19)=CalendarYear,MONTH(JulSun1+19)=7),JulSun1+19,""))</f>
        <v>46220</v>
      </c>
      <c r="H24" s="10">
        <f>IF(DAY(JulSun1)=1,IF(AND(YEAR(JulSun1+13)=CalendarYear,MONTH(JulSun1+13)=7),JulSun1+13,""),IF(AND(YEAR(JulSun1+20)=CalendarYear,MONTH(JulSun1+20)=7),JulSun1+20,""))</f>
        <v>46221</v>
      </c>
      <c r="I24" s="10">
        <f>IF(DAY(JulSun1)=1,IF(AND(YEAR(JulSun1+14)=CalendarYear,MONTH(JulSun1+14)=7),JulSun1+14,""),IF(AND(YEAR(JulSun1+21)=CalendarYear,MONTH(JulSun1+21)=7),JulSun1+21,""))</f>
        <v>46222</v>
      </c>
      <c r="J24" s="10"/>
      <c r="K24" s="10">
        <f>IF(DAY(AugSun1)=1,IF(AND(YEAR(AugSun1+8)=CalendarYear,MONTH(AugSun1+8)=8),AugSun1+8,""),IF(AND(YEAR(AugSun1+15)=CalendarYear,MONTH(AugSun1+15)=8),AugSun1+15,""))</f>
        <v>46244</v>
      </c>
      <c r="L24" s="10">
        <f>IF(DAY(AugSun1)=1,IF(AND(YEAR(AugSun1+9)=CalendarYear,MONTH(AugSun1+9)=8),AugSun1+9,""),IF(AND(YEAR(AugSun1+16)=CalendarYear,MONTH(AugSun1+16)=8),AugSun1+16,""))</f>
        <v>46245</v>
      </c>
      <c r="M24" s="10">
        <f>IF(DAY(AugSun1)=1,IF(AND(YEAR(AugSun1+10)=CalendarYear,MONTH(AugSun1+10)=8),AugSun1+10,""),IF(AND(YEAR(AugSun1+17)=CalendarYear,MONTH(AugSun1+17)=8),AugSun1+17,""))</f>
        <v>46246</v>
      </c>
      <c r="N24" s="10">
        <f>IF(DAY(AugSun1)=1,IF(AND(YEAR(AugSun1+11)=CalendarYear,MONTH(AugSun1+11)=8),AugSun1+11,""),IF(AND(YEAR(AugSun1+18)=CalendarYear,MONTH(AugSun1+18)=8),AugSun1+18,""))</f>
        <v>46247</v>
      </c>
      <c r="O24" s="10">
        <f>IF(DAY(AugSun1)=1,IF(AND(YEAR(AugSun1+12)=CalendarYear,MONTH(AugSun1+12)=8),AugSun1+12,""),IF(AND(YEAR(AugSun1+19)=CalendarYear,MONTH(AugSun1+19)=8),AugSun1+19,""))</f>
        <v>46248</v>
      </c>
      <c r="P24" s="10">
        <f>IF(DAY(AugSun1)=1,IF(AND(YEAR(AugSun1+13)=CalendarYear,MONTH(AugSun1+13)=8),AugSun1+13,""),IF(AND(YEAR(AugSun1+20)=CalendarYear,MONTH(AugSun1+20)=8),AugSun1+20,""))</f>
        <v>46249</v>
      </c>
      <c r="Q24" s="10">
        <f>IF(DAY(AugSun1)=1,IF(AND(YEAR(AugSun1+14)=CalendarYear,MONTH(AugSun1+14)=8),AugSun1+14,""),IF(AND(YEAR(AugSun1+21)=CalendarYear,MONTH(AugSun1+21)=8),AugSun1+21,""))</f>
        <v>46250</v>
      </c>
      <c r="R24" s="2"/>
      <c r="S24" s="10">
        <f>IF(DAY(SepSun1)=1,IF(AND(YEAR(SepSun1+8)=CalendarYear,MONTH(SepSun1+8)=9),SepSun1+8,""),IF(AND(YEAR(SepSun1+15)=CalendarYear,MONTH(SepSun1+15)=9),SepSun1+15,""))</f>
        <v>46279</v>
      </c>
      <c r="T24" s="10">
        <f>IF(DAY(SepSun1)=1,IF(AND(YEAR(SepSun1+9)=CalendarYear,MONTH(SepSun1+9)=9),SepSun1+9,""),IF(AND(YEAR(SepSun1+16)=CalendarYear,MONTH(SepSun1+16)=9),SepSun1+16,""))</f>
        <v>46280</v>
      </c>
      <c r="U24" s="10">
        <f>IF(DAY(SepSun1)=1,IF(AND(YEAR(SepSun1+10)=CalendarYear,MONTH(SepSun1+10)=9),SepSun1+10,""),IF(AND(YEAR(SepSun1+17)=CalendarYear,MONTH(SepSun1+17)=9),SepSun1+17,""))</f>
        <v>46281</v>
      </c>
      <c r="V24" s="10">
        <f>IF(DAY(SepSun1)=1,IF(AND(YEAR(SepSun1+11)=CalendarYear,MONTH(SepSun1+11)=9),SepSun1+11,""),IF(AND(YEAR(SepSun1+18)=CalendarYear,MONTH(SepSun1+18)=9),SepSun1+18,""))</f>
        <v>46282</v>
      </c>
      <c r="W24" s="10">
        <f>IF(DAY(SepSun1)=1,IF(AND(YEAR(SepSun1+12)=CalendarYear,MONTH(SepSun1+12)=9),SepSun1+12,""),IF(AND(YEAR(SepSun1+19)=CalendarYear,MONTH(SepSun1+19)=9),SepSun1+19,""))</f>
        <v>46283</v>
      </c>
      <c r="X24" s="10">
        <f>IF(DAY(SepSun1)=1,IF(AND(YEAR(SepSun1+13)=CalendarYear,MONTH(SepSun1+13)=9),SepSun1+13,""),IF(AND(YEAR(SepSun1+20)=CalendarYear,MONTH(SepSun1+20)=9),SepSun1+20,""))</f>
        <v>46284</v>
      </c>
      <c r="Y24" s="27">
        <f>IF(DAY(SepSun1)=1,IF(AND(YEAR(SepSun1+14)=CalendarYear,MONTH(SepSun1+14)=9),SepSun1+14,""),IF(AND(YEAR(SepSun1+21)=CalendarYear,MONTH(SepSun1+21)=9),SepSun1+21,""))</f>
        <v>46285</v>
      </c>
      <c r="AA24" s="84"/>
      <c r="AB24" s="84"/>
      <c r="AJ24" s="2"/>
    </row>
    <row r="25" spans="1:36" ht="15" customHeight="1" x14ac:dyDescent="0.2">
      <c r="B25" s="2"/>
      <c r="C25" s="17">
        <f>IF(DAY(JulSun1)=1,IF(AND(YEAR(JulSun1+15)=CalendarYear,MONTH(JulSun1+15)=7),JulSun1+15,""),IF(AND(YEAR(JulSun1+22)=CalendarYear,MONTH(JulSun1+22)=7),JulSun1+22,""))</f>
        <v>46223</v>
      </c>
      <c r="D25" s="10">
        <f>IF(DAY(JulSun1)=1,IF(AND(YEAR(JulSun1+16)=CalendarYear,MONTH(JulSun1+16)=7),JulSun1+16,""),IF(AND(YEAR(JulSun1+23)=CalendarYear,MONTH(JulSun1+23)=7),JulSun1+23,""))</f>
        <v>46224</v>
      </c>
      <c r="E25" s="10">
        <f>IF(DAY(JulSun1)=1,IF(AND(YEAR(JulSun1+17)=CalendarYear,MONTH(JulSun1+17)=7),JulSun1+17,""),IF(AND(YEAR(JulSun1+24)=CalendarYear,MONTH(JulSun1+24)=7),JulSun1+24,""))</f>
        <v>46225</v>
      </c>
      <c r="F25" s="10">
        <f>IF(DAY(JulSun1)=1,IF(AND(YEAR(JulSun1+18)=CalendarYear,MONTH(JulSun1+18)=7),JulSun1+18,""),IF(AND(YEAR(JulSun1+25)=CalendarYear,MONTH(JulSun1+25)=7),JulSun1+25,""))</f>
        <v>46226</v>
      </c>
      <c r="G25" s="10">
        <f>IF(DAY(JulSun1)=1,IF(AND(YEAR(JulSun1+19)=CalendarYear,MONTH(JulSun1+19)=7),JulSun1+19,""),IF(AND(YEAR(JulSun1+26)=CalendarYear,MONTH(JulSun1+26)=7),JulSun1+26,""))</f>
        <v>46227</v>
      </c>
      <c r="H25" s="10">
        <f>IF(DAY(JulSun1)=1,IF(AND(YEAR(JulSun1+20)=CalendarYear,MONTH(JulSun1+20)=7),JulSun1+20,""),IF(AND(YEAR(JulSun1+27)=CalendarYear,MONTH(JulSun1+27)=7),JulSun1+27,""))</f>
        <v>46228</v>
      </c>
      <c r="I25" s="10">
        <f>IF(DAY(JulSun1)=1,IF(AND(YEAR(JulSun1+21)=CalendarYear,MONTH(JulSun1+21)=7),JulSun1+21,""),IF(AND(YEAR(JulSun1+28)=CalendarYear,MONTH(JulSun1+28)=7),JulSun1+28,""))</f>
        <v>46229</v>
      </c>
      <c r="J25" s="10"/>
      <c r="K25" s="10">
        <f>IF(DAY(AugSun1)=1,IF(AND(YEAR(AugSun1+15)=CalendarYear,MONTH(AugSun1+15)=8),AugSun1+15,""),IF(AND(YEAR(AugSun1+22)=CalendarYear,MONTH(AugSun1+22)=8),AugSun1+22,""))</f>
        <v>46251</v>
      </c>
      <c r="L25" s="10">
        <f>IF(DAY(AugSun1)=1,IF(AND(YEAR(AugSun1+16)=CalendarYear,MONTH(AugSun1+16)=8),AugSun1+16,""),IF(AND(YEAR(AugSun1+23)=CalendarYear,MONTH(AugSun1+23)=8),AugSun1+23,""))</f>
        <v>46252</v>
      </c>
      <c r="M25" s="10">
        <f>IF(DAY(AugSun1)=1,IF(AND(YEAR(AugSun1+17)=CalendarYear,MONTH(AugSun1+17)=8),AugSun1+17,""),IF(AND(YEAR(AugSun1+24)=CalendarYear,MONTH(AugSun1+24)=8),AugSun1+24,""))</f>
        <v>46253</v>
      </c>
      <c r="N25" s="10">
        <f>IF(DAY(AugSun1)=1,IF(AND(YEAR(AugSun1+18)=CalendarYear,MONTH(AugSun1+18)=8),AugSun1+18,""),IF(AND(YEAR(AugSun1+25)=CalendarYear,MONTH(AugSun1+25)=8),AugSun1+25,""))</f>
        <v>46254</v>
      </c>
      <c r="O25" s="10">
        <f>IF(DAY(AugSun1)=1,IF(AND(YEAR(AugSun1+19)=CalendarYear,MONTH(AugSun1+19)=8),AugSun1+19,""),IF(AND(YEAR(AugSun1+26)=CalendarYear,MONTH(AugSun1+26)=8),AugSun1+26,""))</f>
        <v>46255</v>
      </c>
      <c r="P25" s="10">
        <f>IF(DAY(AugSun1)=1,IF(AND(YEAR(AugSun1+20)=CalendarYear,MONTH(AugSun1+20)=8),AugSun1+20,""),IF(AND(YEAR(AugSun1+27)=CalendarYear,MONTH(AugSun1+27)=8),AugSun1+27,""))</f>
        <v>46256</v>
      </c>
      <c r="Q25" s="10">
        <f>IF(DAY(AugSun1)=1,IF(AND(YEAR(AugSun1+21)=CalendarYear,MONTH(AugSun1+21)=8),AugSun1+21,""),IF(AND(YEAR(AugSun1+28)=CalendarYear,MONTH(AugSun1+28)=8),AugSun1+28,""))</f>
        <v>46257</v>
      </c>
      <c r="R25" s="2"/>
      <c r="S25" s="29">
        <f>IF(DAY(SepSun1)=1,IF(AND(YEAR(SepSun1+15)=CalendarYear,MONTH(SepSun1+15)=9),SepSun1+15,""),IF(AND(YEAR(SepSun1+22)=CalendarYear,MONTH(SepSun1+22)=9),SepSun1+22,""))</f>
        <v>46286</v>
      </c>
      <c r="T25" s="10">
        <f>IF(DAY(SepSun1)=1,IF(AND(YEAR(SepSun1+16)=CalendarYear,MONTH(SepSun1+16)=9),SepSun1+16,""),IF(AND(YEAR(SepSun1+23)=CalendarYear,MONTH(SepSun1+23)=9),SepSun1+23,""))</f>
        <v>46287</v>
      </c>
      <c r="U25" s="10">
        <f>IF(DAY(SepSun1)=1,IF(AND(YEAR(SepSun1+17)=CalendarYear,MONTH(SepSun1+17)=9),SepSun1+17,""),IF(AND(YEAR(SepSun1+24)=CalendarYear,MONTH(SepSun1+24)=9),SepSun1+24,""))</f>
        <v>46288</v>
      </c>
      <c r="V25" s="13">
        <f>IF(DAY(SepSun1)=1,IF(AND(YEAR(SepSun1+18)=CalendarYear,MONTH(SepSun1+18)=9),SepSun1+18,""),IF(AND(YEAR(SepSun1+25)=CalendarYear,MONTH(SepSun1+25)=9),SepSun1+25,""))</f>
        <v>46289</v>
      </c>
      <c r="W25" s="10">
        <f>IF(DAY(SepSun1)=1,IF(AND(YEAR(SepSun1+19)=CalendarYear,MONTH(SepSun1+19)=9),SepSun1+19,""),IF(AND(YEAR(SepSun1+26)=CalendarYear,MONTH(SepSun1+26)=9),SepSun1+26,""))</f>
        <v>46290</v>
      </c>
      <c r="X25" s="10">
        <f>IF(DAY(SepSun1)=1,IF(AND(YEAR(SepSun1+20)=CalendarYear,MONTH(SepSun1+20)=9),SepSun1+20,""),IF(AND(YEAR(SepSun1+27)=CalendarYear,MONTH(SepSun1+27)=9),SepSun1+27,""))</f>
        <v>46291</v>
      </c>
      <c r="Y25" s="27">
        <f>IF(DAY(SepSun1)=1,IF(AND(YEAR(SepSun1+21)=CalendarYear,MONTH(SepSun1+21)=9),SepSun1+21,""),IF(AND(YEAR(SepSun1+28)=CalendarYear,MONTH(SepSun1+28)=9),SepSun1+28,""))</f>
        <v>46292</v>
      </c>
      <c r="AA25" s="84"/>
      <c r="AB25" s="84"/>
      <c r="AJ25" s="2"/>
    </row>
    <row r="26" spans="1:36" ht="15" customHeight="1" x14ac:dyDescent="0.2">
      <c r="B26" s="2"/>
      <c r="C26" s="17">
        <f>IF(DAY(JulSun1)=1,IF(AND(YEAR(JulSun1+22)=CalendarYear,MONTH(JulSun1+22)=7),JulSun1+22,""),IF(AND(YEAR(JulSun1+29)=CalendarYear,MONTH(JulSun1+29)=7),JulSun1+29,""))</f>
        <v>46230</v>
      </c>
      <c r="D26" s="10">
        <f>IF(DAY(JulSun1)=1,IF(AND(YEAR(JulSun1+23)=CalendarYear,MONTH(JulSun1+23)=7),JulSun1+23,""),IF(AND(YEAR(JulSun1+30)=CalendarYear,MONTH(JulSun1+30)=7),JulSun1+30,""))</f>
        <v>46231</v>
      </c>
      <c r="E26" s="10">
        <f>IF(DAY(JulSun1)=1,IF(AND(YEAR(JulSun1+24)=CalendarYear,MONTH(JulSun1+24)=7),JulSun1+24,""),IF(AND(YEAR(JulSun1+31)=CalendarYear,MONTH(JulSun1+31)=7),JulSun1+31,""))</f>
        <v>46232</v>
      </c>
      <c r="F26" s="10">
        <f>IF(DAY(JulSun1)=1,IF(AND(YEAR(JulSun1+25)=CalendarYear,MONTH(JulSun1+25)=7),JulSun1+25,""),IF(AND(YEAR(JulSun1+32)=CalendarYear,MONTH(JulSun1+32)=7),JulSun1+32,""))</f>
        <v>46233</v>
      </c>
      <c r="G26" s="10">
        <f>IF(DAY(JulSun1)=1,IF(AND(YEAR(JulSun1+26)=CalendarYear,MONTH(JulSun1+26)=7),JulSun1+26,""),IF(AND(YEAR(JulSun1+33)=CalendarYear,MONTH(JulSun1+33)=7),JulSun1+33,""))</f>
        <v>46234</v>
      </c>
      <c r="H26" s="10" t="str">
        <f>IF(DAY(JulSun1)=1,IF(AND(YEAR(JulSun1+27)=CalendarYear,MONTH(JulSun1+27)=7),JulSun1+27,""),IF(AND(YEAR(JulSun1+34)=CalendarYear,MONTH(JulSun1+34)=7),JulSun1+34,""))</f>
        <v/>
      </c>
      <c r="I26" s="10" t="str">
        <f>IF(DAY(JulSun1)=1,IF(AND(YEAR(JulSun1+28)=CalendarYear,MONTH(JulSun1+28)=7),JulSun1+28,""),IF(AND(YEAR(JulSun1+35)=CalendarYear,MONTH(JulSun1+35)=7),JulSun1+35,""))</f>
        <v/>
      </c>
      <c r="J26" s="10"/>
      <c r="K26" s="10">
        <f>IF(DAY(AugSun1)=1,IF(AND(YEAR(AugSun1+22)=CalendarYear,MONTH(AugSun1+22)=8),AugSun1+22,""),IF(AND(YEAR(AugSun1+29)=CalendarYear,MONTH(AugSun1+29)=8),AugSun1+29,""))</f>
        <v>46258</v>
      </c>
      <c r="L26" s="10">
        <f>IF(DAY(AugSun1)=1,IF(AND(YEAR(AugSun1+23)=CalendarYear,MONTH(AugSun1+23)=8),AugSun1+23,""),IF(AND(YEAR(AugSun1+30)=CalendarYear,MONTH(AugSun1+30)=8),AugSun1+30,""))</f>
        <v>46259</v>
      </c>
      <c r="M26" s="10">
        <f>IF(DAY(AugSun1)=1,IF(AND(YEAR(AugSun1+24)=CalendarYear,MONTH(AugSun1+24)=8),AugSun1+24,""),IF(AND(YEAR(AugSun1+31)=CalendarYear,MONTH(AugSun1+31)=8),AugSun1+31,""))</f>
        <v>46260</v>
      </c>
      <c r="N26" s="10">
        <f>IF(DAY(AugSun1)=1,IF(AND(YEAR(AugSun1+25)=CalendarYear,MONTH(AugSun1+25)=8),AugSun1+25,""),IF(AND(YEAR(AugSun1+32)=CalendarYear,MONTH(AugSun1+32)=8),AugSun1+32,""))</f>
        <v>46261</v>
      </c>
      <c r="O26" s="10">
        <f>IF(DAY(AugSun1)=1,IF(AND(YEAR(AugSun1+26)=CalendarYear,MONTH(AugSun1+26)=8),AugSun1+26,""),IF(AND(YEAR(AugSun1+33)=CalendarYear,MONTH(AugSun1+33)=8),AugSun1+33,""))</f>
        <v>46262</v>
      </c>
      <c r="P26" s="10">
        <f>IF(DAY(AugSun1)=1,IF(AND(YEAR(AugSun1+27)=CalendarYear,MONTH(AugSun1+27)=8),AugSun1+27,""),IF(AND(YEAR(AugSun1+34)=CalendarYear,MONTH(AugSun1+34)=8),AugSun1+34,""))</f>
        <v>46263</v>
      </c>
      <c r="Q26" s="10">
        <f>IF(DAY(AugSun1)=1,IF(AND(YEAR(AugSun1+28)=CalendarYear,MONTH(AugSun1+28)=8),AugSun1+28,""),IF(AND(YEAR(AugSun1+35)=CalendarYear,MONTH(AugSun1+35)=8),AugSun1+35,""))</f>
        <v>46264</v>
      </c>
      <c r="R26" s="2"/>
      <c r="S26" s="10">
        <f>IF(DAY(SepSun1)=1,IF(AND(YEAR(SepSun1+22)=CalendarYear,MONTH(SepSun1+22)=9),SepSun1+22,""),IF(AND(YEAR(SepSun1+29)=CalendarYear,MONTH(SepSun1+29)=9),SepSun1+29,""))</f>
        <v>46293</v>
      </c>
      <c r="T26" s="10">
        <f>IF(DAY(SepSun1)=1,IF(AND(YEAR(SepSun1+23)=CalendarYear,MONTH(SepSun1+23)=9),SepSun1+23,""),IF(AND(YEAR(SepSun1+30)=CalendarYear,MONTH(SepSun1+30)=9),SepSun1+30,""))</f>
        <v>46294</v>
      </c>
      <c r="U26" s="30">
        <f>IF(DAY(SepSun1)=1,IF(AND(YEAR(SepSun1+24)=CalendarYear,MONTH(SepSun1+24)=9),SepSun1+24,""),IF(AND(YEAR(SepSun1+31)=CalendarYear,MONTH(SepSun1+31)=9),SepSun1+31,""))</f>
        <v>46295</v>
      </c>
      <c r="V26" s="10" t="str">
        <f>IF(DAY(SepSun1)=1,IF(AND(YEAR(SepSun1+25)=CalendarYear,MONTH(SepSun1+25)=9),SepSun1+25,""),IF(AND(YEAR(SepSun1+32)=CalendarYear,MONTH(SepSun1+32)=9),SepSun1+32,""))</f>
        <v/>
      </c>
      <c r="W26" s="10" t="str">
        <f>IF(DAY(SepSun1)=1,IF(AND(YEAR(SepSun1+26)=CalendarYear,MONTH(SepSun1+26)=9),SepSun1+26,""),IF(AND(YEAR(SepSun1+33)=CalendarYear,MONTH(SepSun1+33)=9),SepSun1+33,""))</f>
        <v/>
      </c>
      <c r="X26" s="10" t="str">
        <f>IF(DAY(SepSun1)=1,IF(AND(YEAR(SepSun1+27)=CalendarYear,MONTH(SepSun1+27)=9),SepSun1+27,""),IF(AND(YEAR(SepSun1+34)=CalendarYear,MONTH(SepSun1+34)=9),SepSun1+34,""))</f>
        <v/>
      </c>
      <c r="Y26" s="27" t="str">
        <f>IF(DAY(SepSun1)=1,IF(AND(YEAR(SepSun1+28)=CalendarYear,MONTH(SepSun1+28)=9),SepSun1+28,""),IF(AND(YEAR(SepSun1+35)=CalendarYear,MONTH(SepSun1+35)=9),SepSun1+35,""))</f>
        <v/>
      </c>
      <c r="AA26" s="84"/>
      <c r="AB26" s="84"/>
      <c r="AJ26" s="2"/>
    </row>
    <row r="27" spans="1:36" ht="15" customHeight="1" x14ac:dyDescent="0.2">
      <c r="B27" s="2"/>
      <c r="C27" s="17" t="str">
        <f>IF(DAY(JulSun1)=1,IF(AND(YEAR(JulSun1+29)=CalendarYear,MONTH(JulSun1+29)=7),JulSun1+29,""),IF(AND(YEAR(JulSun1+36)=CalendarYear,MONTH(JulSun1+36)=7),JulSun1+36,""))</f>
        <v/>
      </c>
      <c r="D27" s="10" t="str">
        <f>IF(DAY(JulSun1)=1,IF(AND(YEAR(JulSun1+30)=CalendarYear,MONTH(JulSun1+30)=7),JulSun1+30,""),IF(AND(YEAR(JulSun1+37)=CalendarYear,MONTH(JulSun1+37)=7),JulSun1+37,""))</f>
        <v/>
      </c>
      <c r="E27" s="10" t="str">
        <f>IF(DAY(JulSun1)=1,IF(AND(YEAR(JulSun1+31)=CalendarYear,MONTH(JulSun1+31)=7),JulSun1+31,""),IF(AND(YEAR(JulSun1+38)=CalendarYear,MONTH(JulSun1+38)=7),JulSun1+38,""))</f>
        <v/>
      </c>
      <c r="F27" s="10" t="str">
        <f>IF(DAY(JulSun1)=1,IF(AND(YEAR(JulSun1+32)=CalendarYear,MONTH(JulSun1+32)=7),JulSun1+32,""),IF(AND(YEAR(JulSun1+39)=CalendarYear,MONTH(JulSun1+39)=7),JulSun1+39,""))</f>
        <v/>
      </c>
      <c r="G27" s="10" t="str">
        <f>IF(DAY(JulSun1)=1,IF(AND(YEAR(JulSun1+33)=CalendarYear,MONTH(JulSun1+33)=7),JulSun1+33,""),IF(AND(YEAR(JulSun1+40)=CalendarYear,MONTH(JulSun1+40)=7),JulSun1+40,""))</f>
        <v/>
      </c>
      <c r="H27" s="10" t="str">
        <f>IF(DAY(JulSun1)=1,IF(AND(YEAR(JulSun1+34)=CalendarYear,MONTH(JulSun1+34)=7),JulSun1+34,""),IF(AND(YEAR(JulSun1+41)=CalendarYear,MONTH(JulSun1+41)=7),JulSun1+41,""))</f>
        <v/>
      </c>
      <c r="I27" s="10" t="str">
        <f>IF(DAY(JulSun1)=1,IF(AND(YEAR(JulSun1+35)=CalendarYear,MONTH(JulSun1+35)=7),JulSun1+35,""),IF(AND(YEAR(JulSun1+42)=CalendarYear,MONTH(JulSun1+42)=7),JulSun1+42,""))</f>
        <v/>
      </c>
      <c r="J27" s="10"/>
      <c r="K27" s="10">
        <f>IF(DAY(AugSun1)=1,IF(AND(YEAR(AugSun1+29)=CalendarYear,MONTH(AugSun1+29)=8),AugSun1+29,""),IF(AND(YEAR(AugSun1+36)=CalendarYear,MONTH(AugSun1+36)=8),AugSun1+36,""))</f>
        <v>46265</v>
      </c>
      <c r="L27" s="10" t="str">
        <f>IF(DAY(AugSun1)=1,IF(AND(YEAR(AugSun1+30)=CalendarYear,MONTH(AugSun1+30)=8),AugSun1+30,""),IF(AND(YEAR(AugSun1+37)=CalendarYear,MONTH(AugSun1+37)=8),AugSun1+37,""))</f>
        <v/>
      </c>
      <c r="M27" s="10" t="str">
        <f>IF(DAY(AugSun1)=1,IF(AND(YEAR(AugSun1+31)=CalendarYear,MONTH(AugSun1+31)=8),AugSun1+31,""),IF(AND(YEAR(AugSun1+38)=CalendarYear,MONTH(AugSun1+38)=8),AugSun1+38,""))</f>
        <v/>
      </c>
      <c r="N27" s="10" t="str">
        <f>IF(DAY(AugSun1)=1,IF(AND(YEAR(AugSun1+32)=CalendarYear,MONTH(AugSun1+32)=8),AugSun1+32,""),IF(AND(YEAR(AugSun1+39)=CalendarYear,MONTH(AugSun1+39)=8),AugSun1+39,""))</f>
        <v/>
      </c>
      <c r="O27" s="10" t="str">
        <f>IF(DAY(AugSun1)=1,IF(AND(YEAR(AugSun1+33)=CalendarYear,MONTH(AugSun1+33)=8),AugSun1+33,""),IF(AND(YEAR(AugSun1+40)=CalendarYear,MONTH(AugSun1+40)=8),AugSun1+40,""))</f>
        <v/>
      </c>
      <c r="P27" s="10" t="str">
        <f>IF(DAY(AugSun1)=1,IF(AND(YEAR(AugSun1+34)=CalendarYear,MONTH(AugSun1+34)=8),AugSun1+34,""),IF(AND(YEAR(AugSun1+41)=CalendarYear,MONTH(AugSun1+41)=8),AugSun1+41,""))</f>
        <v/>
      </c>
      <c r="Q27" s="10" t="str">
        <f>IF(DAY(AugSun1)=1,IF(AND(YEAR(AugSun1+35)=CalendarYear,MONTH(AugSun1+35)=8),AugSun1+35,""),IF(AND(YEAR(AugSun1+42)=CalendarYear,MONTH(AugSun1+42)=8),AugSun1+42,""))</f>
        <v/>
      </c>
      <c r="R27" s="2"/>
      <c r="S27" s="10" t="str">
        <f>IF(DAY(SepSun1)=1,IF(AND(YEAR(SepSun1+29)=CalendarYear,MONTH(SepSun1+29)=9),SepSun1+29,""),IF(AND(YEAR(SepSun1+36)=CalendarYear,MONTH(SepSun1+36)=9),SepSun1+36,""))</f>
        <v/>
      </c>
      <c r="T27" s="10" t="str">
        <f>IF(DAY(SepSun1)=1,IF(AND(YEAR(SepSun1+30)=CalendarYear,MONTH(SepSun1+30)=9),SepSun1+30,""),IF(AND(YEAR(SepSun1+37)=CalendarYear,MONTH(SepSun1+37)=9),SepSun1+37,""))</f>
        <v/>
      </c>
      <c r="U27" s="10" t="str">
        <f>IF(DAY(SepSun1)=1,IF(AND(YEAR(SepSun1+31)=CalendarYear,MONTH(SepSun1+31)=9),SepSun1+31,""),IF(AND(YEAR(SepSun1+38)=CalendarYear,MONTH(SepSun1+38)=9),SepSun1+38,""))</f>
        <v/>
      </c>
      <c r="V27" s="10" t="str">
        <f>IF(DAY(SepSun1)=1,IF(AND(YEAR(SepSun1+32)=CalendarYear,MONTH(SepSun1+32)=9),SepSun1+32,""),IF(AND(YEAR(SepSun1+39)=CalendarYear,MONTH(SepSun1+39)=9),SepSun1+39,""))</f>
        <v/>
      </c>
      <c r="W27" s="10" t="str">
        <f>IF(DAY(SepSun1)=1,IF(AND(YEAR(SepSun1+33)=CalendarYear,MONTH(SepSun1+33)=9),SepSun1+33,""),IF(AND(YEAR(SepSun1+40)=CalendarYear,MONTH(SepSun1+40)=9),SepSun1+40,""))</f>
        <v/>
      </c>
      <c r="X27" s="10" t="str">
        <f>IF(DAY(SepSun1)=1,IF(AND(YEAR(SepSun1+34)=CalendarYear,MONTH(SepSun1+34)=9),SepSun1+34,""),IF(AND(YEAR(SepSun1+41)=CalendarYear,MONTH(SepSun1+41)=9),SepSun1+41,""))</f>
        <v/>
      </c>
      <c r="Y27" s="27" t="str">
        <f>IF(DAY(SepSun1)=1,IF(AND(YEAR(SepSun1+35)=CalendarYear,MONTH(SepSun1+35)=9),SepSun1+35,""),IF(AND(YEAR(SepSun1+42)=CalendarYear,MONTH(SepSun1+42)=9),SepSun1+42,""))</f>
        <v/>
      </c>
      <c r="AA27" s="84"/>
      <c r="AB27" s="84"/>
      <c r="AJ27" s="2"/>
    </row>
    <row r="28" spans="1:36" ht="15" customHeight="1" x14ac:dyDescent="0.2">
      <c r="A28" s="6"/>
      <c r="B28" s="2"/>
      <c r="C28" s="75" t="s">
        <v>17</v>
      </c>
      <c r="D28" s="76"/>
      <c r="E28" s="76"/>
      <c r="F28" s="76"/>
      <c r="G28" s="76"/>
      <c r="H28" s="76"/>
      <c r="I28" s="76"/>
      <c r="J28" s="22"/>
      <c r="K28" s="76" t="s">
        <v>6</v>
      </c>
      <c r="L28" s="76"/>
      <c r="M28" s="76"/>
      <c r="N28" s="76"/>
      <c r="O28" s="76"/>
      <c r="P28" s="76"/>
      <c r="Q28" s="76"/>
      <c r="R28" s="18"/>
      <c r="S28" s="76" t="s">
        <v>18</v>
      </c>
      <c r="T28" s="76"/>
      <c r="U28" s="76"/>
      <c r="V28" s="76"/>
      <c r="W28" s="76"/>
      <c r="X28" s="76"/>
      <c r="Y28" s="77"/>
      <c r="AA28" s="53" t="s">
        <v>33</v>
      </c>
      <c r="AJ28" s="2"/>
    </row>
    <row r="29" spans="1:36" ht="15" customHeight="1" x14ac:dyDescent="0.2">
      <c r="A29" s="6"/>
      <c r="C29" s="16" t="s">
        <v>1</v>
      </c>
      <c r="D29" s="4" t="s">
        <v>7</v>
      </c>
      <c r="E29" s="4" t="s">
        <v>8</v>
      </c>
      <c r="F29" s="4" t="s">
        <v>9</v>
      </c>
      <c r="G29" s="4" t="s">
        <v>10</v>
      </c>
      <c r="H29" s="4" t="s">
        <v>11</v>
      </c>
      <c r="I29" s="4" t="s">
        <v>12</v>
      </c>
      <c r="J29" s="10"/>
      <c r="K29" s="4" t="s">
        <v>1</v>
      </c>
      <c r="L29" s="4" t="s">
        <v>7</v>
      </c>
      <c r="M29" s="4" t="s">
        <v>8</v>
      </c>
      <c r="N29" s="4" t="s">
        <v>9</v>
      </c>
      <c r="O29" s="4" t="s">
        <v>10</v>
      </c>
      <c r="P29" s="4" t="s">
        <v>11</v>
      </c>
      <c r="Q29" s="4" t="s">
        <v>12</v>
      </c>
      <c r="R29" s="18"/>
      <c r="S29" s="4" t="s">
        <v>1</v>
      </c>
      <c r="T29" s="4" t="s">
        <v>7</v>
      </c>
      <c r="U29" s="4" t="s">
        <v>8</v>
      </c>
      <c r="V29" s="4" t="s">
        <v>9</v>
      </c>
      <c r="W29" s="4" t="s">
        <v>10</v>
      </c>
      <c r="X29" s="4" t="s">
        <v>11</v>
      </c>
      <c r="Y29" s="26" t="s">
        <v>12</v>
      </c>
      <c r="AA29" s="84" t="s">
        <v>34</v>
      </c>
      <c r="AB29" s="14"/>
    </row>
    <row r="30" spans="1:36" ht="15" customHeight="1" x14ac:dyDescent="0.2">
      <c r="A30" s="6"/>
      <c r="C30" s="17" t="str">
        <f>IF(DAY(OctSun1)=1,"",IF(AND(YEAR(OctSun1+1)=CalendarYear,MONTH(OctSun1+1)=10),OctSun1+1,""))</f>
        <v/>
      </c>
      <c r="D30" s="10" t="str">
        <f>IF(DAY(OctSun1)=1,"",IF(AND(YEAR(OctSun1+2)=CalendarYear,MONTH(OctSun1+2)=10),OctSun1+2,""))</f>
        <v/>
      </c>
      <c r="E30" s="10" t="str">
        <f>IF(DAY(OctSun1)=1,"",IF(AND(YEAR(OctSun1+3)=CalendarYear,MONTH(OctSun1+3)=10),OctSun1+3,""))</f>
        <v/>
      </c>
      <c r="F30" s="23">
        <f>IF(DAY(OctSun1)=1,"",IF(AND(YEAR(OctSun1+4)=CalendarYear,MONTH(OctSun1+4)=10),OctSun1+4,""))</f>
        <v>46296</v>
      </c>
      <c r="G30" s="10">
        <f>IF(DAY(OctSun1)=1,"",IF(AND(YEAR(OctSun1+5)=CalendarYear,MONTH(OctSun1+5)=10),OctSun1+5,""))</f>
        <v>46297</v>
      </c>
      <c r="H30" s="10">
        <f>IF(DAY(OctSun1)=1,"",IF(AND(YEAR(OctSun1+6)=CalendarYear,MONTH(OctSun1+6)=10),OctSun1+6,""))</f>
        <v>46298</v>
      </c>
      <c r="I30" s="10">
        <f>IF(DAY(OctSun1)=1,IF(AND(YEAR(OctSun1)=CalendarYear,MONTH(OctSun1)=10),OctSun1,""),IF(AND(YEAR(OctSun1+7)=CalendarYear,MONTH(OctSun1+7)=10),OctSun1+7,""))</f>
        <v>46299</v>
      </c>
      <c r="J30" s="2"/>
      <c r="K30" s="10" t="str">
        <f>IF(DAY(NovSun1)=1,"",IF(AND(YEAR(NovSun1+1)=CalendarYear,MONTH(NovSun1+1)=11),NovSun1+1,""))</f>
        <v/>
      </c>
      <c r="L30" s="10" t="str">
        <f>IF(DAY(NovSun1)=1,"",IF(AND(YEAR(NovSun1+2)=CalendarYear,MONTH(NovSun1+2)=11),NovSun1+2,""))</f>
        <v/>
      </c>
      <c r="M30" s="10" t="str">
        <f>IF(DAY(NovSun1)=1,"",IF(AND(YEAR(NovSun1+3)=CalendarYear,MONTH(NovSun1+3)=11),NovSun1+3,""))</f>
        <v/>
      </c>
      <c r="N30" s="10" t="str">
        <f>IF(DAY(NovSun1)=1,"",IF(AND(YEAR(NovSun1+4)=CalendarYear,MONTH(NovSun1+4)=11),NovSun1+4,""))</f>
        <v/>
      </c>
      <c r="O30" s="10" t="str">
        <f>IF(DAY(NovSun1)=1,"",IF(AND(YEAR(NovSun1+5)=CalendarYear,MONTH(NovSun1+5)=11),NovSun1+5,""))</f>
        <v/>
      </c>
      <c r="P30" s="10" t="str">
        <f>IF(DAY(NovSun1)=1,"",IF(AND(YEAR(NovSun1+6)=CalendarYear,MONTH(NovSun1+6)=11),NovSun1+6,""))</f>
        <v/>
      </c>
      <c r="Q30" s="10">
        <f>IF(DAY(NovSun1)=1,IF(AND(YEAR(NovSun1)=CalendarYear,MONTH(NovSun1)=11),NovSun1,""),IF(AND(YEAR(NovSun1+7)=CalendarYear,MONTH(NovSun1+7)=11),NovSun1+7,""))</f>
        <v>46327</v>
      </c>
      <c r="R30" s="18"/>
      <c r="S30" s="10" t="str">
        <f>IF(DAY(DecSun1)=1,"",IF(AND(YEAR(DecSun1+1)=CalendarYear,MONTH(DecSun1+1)=12),DecSun1+1,""))</f>
        <v/>
      </c>
      <c r="T30" s="10">
        <f>IF(DAY(DecSun1)=1,"",IF(AND(YEAR(DecSun1+2)=CalendarYear,MONTH(DecSun1+2)=12),DecSun1+2,""))</f>
        <v>46357</v>
      </c>
      <c r="U30" s="10">
        <f>IF(DAY(DecSun1)=1,"",IF(AND(YEAR(DecSun1+3)=CalendarYear,MONTH(DecSun1+3)=12),DecSun1+3,""))</f>
        <v>46358</v>
      </c>
      <c r="V30" s="10">
        <f>IF(DAY(DecSun1)=1,"",IF(AND(YEAR(DecSun1+4)=CalendarYear,MONTH(DecSun1+4)=12),DecSun1+4,""))</f>
        <v>46359</v>
      </c>
      <c r="W30" s="10">
        <f>IF(DAY(DecSun1)=1,"",IF(AND(YEAR(DecSun1+5)=CalendarYear,MONTH(DecSun1+5)=12),DecSun1+5,""))</f>
        <v>46360</v>
      </c>
      <c r="X30" s="10">
        <f>IF(DAY(DecSun1)=1,"",IF(AND(YEAR(DecSun1+6)=CalendarYear,MONTH(DecSun1+6)=12),DecSun1+6,""))</f>
        <v>46361</v>
      </c>
      <c r="Y30" s="27">
        <f>IF(DAY(DecSun1)=1,IF(AND(YEAR(DecSun1)=CalendarYear,MONTH(DecSun1)=12),DecSun1,""),IF(AND(YEAR(DecSun1+7)=CalendarYear,MONTH(DecSun1+7)=12),DecSun1+7,""))</f>
        <v>46362</v>
      </c>
      <c r="AA30" s="84"/>
      <c r="AB30" s="14"/>
    </row>
    <row r="31" spans="1:36" ht="15" customHeight="1" x14ac:dyDescent="0.2">
      <c r="A31" s="6"/>
      <c r="C31" s="17">
        <f>IF(DAY(OctSun1)=1,IF(AND(YEAR(OctSun1+1)=CalendarYear,MONTH(OctSun1+1)=10),OctSun1+1,""),IF(AND(YEAR(OctSun1+8)=CalendarYear,MONTH(OctSun1+8)=10),OctSun1+8,""))</f>
        <v>46300</v>
      </c>
      <c r="D31" s="10">
        <f>IF(DAY(OctSun1)=1,IF(AND(YEAR(OctSun1+2)=CalendarYear,MONTH(OctSun1+2)=10),OctSun1+2,""),IF(AND(YEAR(OctSun1+9)=CalendarYear,MONTH(OctSun1+9)=10),OctSun1+9,""))</f>
        <v>46301</v>
      </c>
      <c r="E31" s="10">
        <f>IF(DAY(OctSun1)=1,IF(AND(YEAR(OctSun1+3)=CalendarYear,MONTH(OctSun1+3)=10),OctSun1+3,""),IF(AND(YEAR(OctSun1+10)=CalendarYear,MONTH(OctSun1+10)=10),OctSun1+10,""))</f>
        <v>46302</v>
      </c>
      <c r="F31" s="10">
        <f>IF(DAY(OctSun1)=1,IF(AND(YEAR(OctSun1+4)=CalendarYear,MONTH(OctSun1+4)=10),OctSun1+4,""),IF(AND(YEAR(OctSun1+11)=CalendarYear,MONTH(OctSun1+11)=10),OctSun1+11,""))</f>
        <v>46303</v>
      </c>
      <c r="G31" s="10">
        <f>IF(DAY(OctSun1)=1,IF(AND(YEAR(OctSun1+5)=CalendarYear,MONTH(OctSun1+5)=10),OctSun1+5,""),IF(AND(YEAR(OctSun1+12)=CalendarYear,MONTH(OctSun1+12)=10),OctSun1+12,""))</f>
        <v>46304</v>
      </c>
      <c r="H31" s="10">
        <f>IF(DAY(OctSun1)=1,IF(AND(YEAR(OctSun1+6)=CalendarYear,MONTH(OctSun1+6)=10),OctSun1+6,""),IF(AND(YEAR(OctSun1+13)=CalendarYear,MONTH(OctSun1+13)=10),OctSun1+13,""))</f>
        <v>46305</v>
      </c>
      <c r="I31" s="10">
        <f>IF(DAY(OctSun1)=1,IF(AND(YEAR(OctSun1+7)=CalendarYear,MONTH(OctSun1+7)=10),OctSun1+7,""),IF(AND(YEAR(OctSun1+14)=CalendarYear,MONTH(OctSun1+14)=10),OctSun1+14,""))</f>
        <v>46306</v>
      </c>
      <c r="J31" s="18"/>
      <c r="K31" s="10">
        <f>IF(DAY(NovSun1)=1,IF(AND(YEAR(NovSun1+1)=CalendarYear,MONTH(NovSun1+1)=11),NovSun1+1,""),IF(AND(YEAR(NovSun1+8)=CalendarYear,MONTH(NovSun1+8)=11),NovSun1+8,""))</f>
        <v>46328</v>
      </c>
      <c r="L31" s="10">
        <f>IF(DAY(NovSun1)=1,IF(AND(YEAR(NovSun1+2)=CalendarYear,MONTH(NovSun1+2)=11),NovSun1+2,""),IF(AND(YEAR(NovSun1+9)=CalendarYear,MONTH(NovSun1+9)=11),NovSun1+9,""))</f>
        <v>46329</v>
      </c>
      <c r="M31" s="10">
        <f>IF(DAY(NovSun1)=1,IF(AND(YEAR(NovSun1+3)=CalendarYear,MONTH(NovSun1+3)=11),NovSun1+3,""),IF(AND(YEAR(NovSun1+10)=CalendarYear,MONTH(NovSun1+10)=11),NovSun1+10,""))</f>
        <v>46330</v>
      </c>
      <c r="N31" s="10">
        <f>IF(DAY(NovSun1)=1,IF(AND(YEAR(NovSun1+4)=CalendarYear,MONTH(NovSun1+4)=11),NovSun1+4,""),IF(AND(YEAR(NovSun1+11)=CalendarYear,MONTH(NovSun1+11)=11),NovSun1+11,""))</f>
        <v>46331</v>
      </c>
      <c r="O31" s="10">
        <f>IF(DAY(NovSun1)=1,IF(AND(YEAR(NovSun1+5)=CalendarYear,MONTH(NovSun1+5)=11),NovSun1+5,""),IF(AND(YEAR(NovSun1+12)=CalendarYear,MONTH(NovSun1+12)=11),NovSun1+12,""))</f>
        <v>46332</v>
      </c>
      <c r="P31" s="10">
        <f>IF(DAY(NovSun1)=1,IF(AND(YEAR(NovSun1+6)=CalendarYear,MONTH(NovSun1+6)=11),NovSun1+6,""),IF(AND(YEAR(NovSun1+13)=CalendarYear,MONTH(NovSun1+13)=11),NovSun1+13,""))</f>
        <v>46333</v>
      </c>
      <c r="Q31" s="10">
        <f>IF(DAY(NovSun1)=1,IF(AND(YEAR(NovSun1+7)=CalendarYear,MONTH(NovSun1+7)=11),NovSun1+7,""),IF(AND(YEAR(NovSun1+14)=CalendarYear,MONTH(NovSun1+14)=11),NovSun1+14,""))</f>
        <v>46334</v>
      </c>
      <c r="R31" s="18"/>
      <c r="S31" s="10">
        <f>IF(DAY(DecSun1)=1,IF(AND(YEAR(DecSun1+1)=CalendarYear,MONTH(DecSun1+1)=12),DecSun1+1,""),IF(AND(YEAR(DecSun1+8)=CalendarYear,MONTH(DecSun1+8)=12),DecSun1+8,""))</f>
        <v>46363</v>
      </c>
      <c r="T31" s="10">
        <f>IF(DAY(DecSun1)=1,IF(AND(YEAR(DecSun1+2)=CalendarYear,MONTH(DecSun1+2)=12),DecSun1+2,""),IF(AND(YEAR(DecSun1+9)=CalendarYear,MONTH(DecSun1+9)=12),DecSun1+9,""))</f>
        <v>46364</v>
      </c>
      <c r="U31" s="10">
        <f>IF(DAY(DecSun1)=1,IF(AND(YEAR(DecSun1+3)=CalendarYear,MONTH(DecSun1+3)=12),DecSun1+3,""),IF(AND(YEAR(DecSun1+10)=CalendarYear,MONTH(DecSun1+10)=12),DecSun1+10,""))</f>
        <v>46365</v>
      </c>
      <c r="V31" s="10">
        <f>IF(DAY(DecSun1)=1,IF(AND(YEAR(DecSun1+4)=CalendarYear,MONTH(DecSun1+4)=12),DecSun1+4,""),IF(AND(YEAR(DecSun1+11)=CalendarYear,MONTH(DecSun1+11)=12),DecSun1+11,""))</f>
        <v>46366</v>
      </c>
      <c r="W31" s="10">
        <f>IF(DAY(DecSun1)=1,IF(AND(YEAR(DecSun1+5)=CalendarYear,MONTH(DecSun1+5)=12),DecSun1+5,""),IF(AND(YEAR(DecSun1+12)=CalendarYear,MONTH(DecSun1+12)=12),DecSun1+12,""))</f>
        <v>46367</v>
      </c>
      <c r="X31" s="10">
        <f>IF(DAY(DecSun1)=1,IF(AND(YEAR(DecSun1+6)=CalendarYear,MONTH(DecSun1+6)=12),DecSun1+6,""),IF(AND(YEAR(DecSun1+13)=CalendarYear,MONTH(DecSun1+13)=12),DecSun1+13,""))</f>
        <v>46368</v>
      </c>
      <c r="Y31" s="27">
        <f>IF(DAY(DecSun1)=1,IF(AND(YEAR(DecSun1+7)=CalendarYear,MONTH(DecSun1+7)=12),DecSun1+7,""),IF(AND(YEAR(DecSun1+14)=CalendarYear,MONTH(DecSun1+14)=12),DecSun1+14,""))</f>
        <v>46369</v>
      </c>
    </row>
    <row r="32" spans="1:36" ht="15" customHeight="1" x14ac:dyDescent="0.2">
      <c r="C32" s="17">
        <f>IF(DAY(OctSun1)=1,IF(AND(YEAR(OctSun1+8)=CalendarYear,MONTH(OctSun1+8)=10),OctSun1+8,""),IF(AND(YEAR(OctSun1+15)=CalendarYear,MONTH(OctSun1+15)=10),OctSun1+15,""))</f>
        <v>46307</v>
      </c>
      <c r="D32" s="10">
        <f>IF(DAY(OctSun1)=1,IF(AND(YEAR(OctSun1+9)=CalendarYear,MONTH(OctSun1+9)=10),OctSun1+9,""),IF(AND(YEAR(OctSun1+16)=CalendarYear,MONTH(OctSun1+16)=10),OctSun1+16,""))</f>
        <v>46308</v>
      </c>
      <c r="E32" s="10">
        <f>IF(DAY(OctSun1)=1,IF(AND(YEAR(OctSun1+10)=CalendarYear,MONTH(OctSun1+10)=10),OctSun1+10,""),IF(AND(YEAR(OctSun1+17)=CalendarYear,MONTH(OctSun1+17)=10),OctSun1+17,""))</f>
        <v>46309</v>
      </c>
      <c r="F32" s="10">
        <f>IF(DAY(OctSun1)=1,IF(AND(YEAR(OctSun1+11)=CalendarYear,MONTH(OctSun1+11)=10),OctSun1+11,""),IF(AND(YEAR(OctSun1+18)=CalendarYear,MONTH(OctSun1+18)=10),OctSun1+18,""))</f>
        <v>46310</v>
      </c>
      <c r="G32" s="10">
        <f>IF(DAY(OctSun1)=1,IF(AND(YEAR(OctSun1+12)=CalendarYear,MONTH(OctSun1+12)=10),OctSun1+12,""),IF(AND(YEAR(OctSun1+19)=CalendarYear,MONTH(OctSun1+19)=10),OctSun1+19,""))</f>
        <v>46311</v>
      </c>
      <c r="H32" s="10">
        <f>IF(DAY(OctSun1)=1,IF(AND(YEAR(OctSun1+13)=CalendarYear,MONTH(OctSun1+13)=10),OctSun1+13,""),IF(AND(YEAR(OctSun1+20)=CalendarYear,MONTH(OctSun1+20)=10),OctSun1+20,""))</f>
        <v>46312</v>
      </c>
      <c r="I32" s="10">
        <f>IF(DAY(OctSun1)=1,IF(AND(YEAR(OctSun1+14)=CalendarYear,MONTH(OctSun1+14)=10),OctSun1+14,""),IF(AND(YEAR(OctSun1+21)=CalendarYear,MONTH(OctSun1+21)=10),OctSun1+21,""))</f>
        <v>46313</v>
      </c>
      <c r="J32" s="18"/>
      <c r="K32" s="10">
        <f>IF(DAY(NovSun1)=1,IF(AND(YEAR(NovSun1+8)=CalendarYear,MONTH(NovSun1+8)=11),NovSun1+8,""),IF(AND(YEAR(NovSun1+15)=CalendarYear,MONTH(NovSun1+15)=11),NovSun1+15,""))</f>
        <v>46335</v>
      </c>
      <c r="L32" s="10">
        <f>IF(DAY(NovSun1)=1,IF(AND(YEAR(NovSun1+9)=CalendarYear,MONTH(NovSun1+9)=11),NovSun1+9,""),IF(AND(YEAR(NovSun1+16)=CalendarYear,MONTH(NovSun1+16)=11),NovSun1+16,""))</f>
        <v>46336</v>
      </c>
      <c r="M32" s="10">
        <f>IF(DAY(NovSun1)=1,IF(AND(YEAR(NovSun1+10)=CalendarYear,MONTH(NovSun1+10)=11),NovSun1+10,""),IF(AND(YEAR(NovSun1+17)=CalendarYear,MONTH(NovSun1+17)=11),NovSun1+17,""))</f>
        <v>46337</v>
      </c>
      <c r="N32" s="10">
        <f>IF(DAY(NovSun1)=1,IF(AND(YEAR(NovSun1+11)=CalendarYear,MONTH(NovSun1+11)=11),NovSun1+11,""),IF(AND(YEAR(NovSun1+18)=CalendarYear,MONTH(NovSun1+18)=11),NovSun1+18,""))</f>
        <v>46338</v>
      </c>
      <c r="O32" s="10">
        <f>IF(DAY(NovSun1)=1,IF(AND(YEAR(NovSun1+12)=CalendarYear,MONTH(NovSun1+12)=11),NovSun1+12,""),IF(AND(YEAR(NovSun1+19)=CalendarYear,MONTH(NovSun1+19)=11),NovSun1+19,""))</f>
        <v>46339</v>
      </c>
      <c r="P32" s="10">
        <f>IF(DAY(NovSun1)=1,IF(AND(YEAR(NovSun1+13)=CalendarYear,MONTH(NovSun1+13)=11),NovSun1+13,""),IF(AND(YEAR(NovSun1+20)=CalendarYear,MONTH(NovSun1+20)=11),NovSun1+20,""))</f>
        <v>46340</v>
      </c>
      <c r="Q32" s="10">
        <f>IF(DAY(NovSun1)=1,IF(AND(YEAR(NovSun1+14)=CalendarYear,MONTH(NovSun1+14)=11),NovSun1+14,""),IF(AND(YEAR(NovSun1+21)=CalendarYear,MONTH(NovSun1+21)=11),NovSun1+21,""))</f>
        <v>46341</v>
      </c>
      <c r="R32" s="18"/>
      <c r="S32" s="10">
        <f>IF(DAY(DecSun1)=1,IF(AND(YEAR(DecSun1+8)=CalendarYear,MONTH(DecSun1+8)=12),DecSun1+8,""),IF(AND(YEAR(DecSun1+15)=CalendarYear,MONTH(DecSun1+15)=12),DecSun1+15,""))</f>
        <v>46370</v>
      </c>
      <c r="T32" s="10">
        <f>IF(DAY(DecSun1)=1,IF(AND(YEAR(DecSun1+9)=CalendarYear,MONTH(DecSun1+9)=12),DecSun1+9,""),IF(AND(YEAR(DecSun1+16)=CalendarYear,MONTH(DecSun1+16)=12),DecSun1+16,""))</f>
        <v>46371</v>
      </c>
      <c r="U32" s="10">
        <f>IF(DAY(DecSun1)=1,IF(AND(YEAR(DecSun1+10)=CalendarYear,MONTH(DecSun1+10)=12),DecSun1+10,""),IF(AND(YEAR(DecSun1+17)=CalendarYear,MONTH(DecSun1+17)=12),DecSun1+17,""))</f>
        <v>46372</v>
      </c>
      <c r="V32" s="10">
        <f>IF(DAY(DecSun1)=1,IF(AND(YEAR(DecSun1+11)=CalendarYear,MONTH(DecSun1+11)=12),DecSun1+11,""),IF(AND(YEAR(DecSun1+18)=CalendarYear,MONTH(DecSun1+18)=12),DecSun1+18,""))</f>
        <v>46373</v>
      </c>
      <c r="W32" s="10">
        <f>IF(DAY(DecSun1)=1,IF(AND(YEAR(DecSun1+12)=CalendarYear,MONTH(DecSun1+12)=12),DecSun1+12,""),IF(AND(YEAR(DecSun1+19)=CalendarYear,MONTH(DecSun1+19)=12),DecSun1+19,""))</f>
        <v>46374</v>
      </c>
      <c r="X32" s="10">
        <f>IF(DAY(DecSun1)=1,IF(AND(YEAR(DecSun1+13)=CalendarYear,MONTH(DecSun1+13)=12),DecSun1+13,""),IF(AND(YEAR(DecSun1+20)=CalendarYear,MONTH(DecSun1+20)=12),DecSun1+20,""))</f>
        <v>46375</v>
      </c>
      <c r="Y32" s="27">
        <f>IF(DAY(DecSun1)=1,IF(AND(YEAR(DecSun1+14)=CalendarYear,MONTH(DecSun1+14)=12),DecSun1+14,""),IF(AND(YEAR(DecSun1+21)=CalendarYear,MONTH(DecSun1+21)=12),DecSun1+21,""))</f>
        <v>46376</v>
      </c>
    </row>
    <row r="33" spans="3:28" ht="15" customHeight="1" x14ac:dyDescent="0.2">
      <c r="C33" s="17">
        <f>IF(DAY(OctSun1)=1,IF(AND(YEAR(OctSun1+15)=CalendarYear,MONTH(OctSun1+15)=10),OctSun1+15,""),IF(AND(YEAR(OctSun1+22)=CalendarYear,MONTH(OctSun1+22)=10),OctSun1+22,""))</f>
        <v>46314</v>
      </c>
      <c r="D33" s="10">
        <f>IF(DAY(OctSun1)=1,IF(AND(YEAR(OctSun1+16)=CalendarYear,MONTH(OctSun1+16)=10),OctSun1+16,""),IF(AND(YEAR(OctSun1+23)=CalendarYear,MONTH(OctSun1+23)=10),OctSun1+23,""))</f>
        <v>46315</v>
      </c>
      <c r="E33" s="10">
        <f>IF(DAY(OctSun1)=1,IF(AND(YEAR(OctSun1+17)=CalendarYear,MONTH(OctSun1+17)=10),OctSun1+17,""),IF(AND(YEAR(OctSun1+24)=CalendarYear,MONTH(OctSun1+24)=10),OctSun1+24,""))</f>
        <v>46316</v>
      </c>
      <c r="F33" s="10">
        <f>IF(DAY(OctSun1)=1,IF(AND(YEAR(OctSun1+18)=CalendarYear,MONTH(OctSun1+18)=10),OctSun1+18,""),IF(AND(YEAR(OctSun1+25)=CalendarYear,MONTH(OctSun1+25)=10),OctSun1+25,""))</f>
        <v>46317</v>
      </c>
      <c r="G33" s="10">
        <f>IF(DAY(OctSun1)=1,IF(AND(YEAR(OctSun1+19)=CalendarYear,MONTH(OctSun1+19)=10),OctSun1+19,""),IF(AND(YEAR(OctSun1+26)=CalendarYear,MONTH(OctSun1+26)=10),OctSun1+26,""))</f>
        <v>46318</v>
      </c>
      <c r="H33" s="10">
        <f>IF(DAY(OctSun1)=1,IF(AND(YEAR(OctSun1+20)=CalendarYear,MONTH(OctSun1+20)=10),OctSun1+20,""),IF(AND(YEAR(OctSun1+27)=CalendarYear,MONTH(OctSun1+27)=10),OctSun1+27,""))</f>
        <v>46319</v>
      </c>
      <c r="I33" s="10">
        <f>IF(DAY(OctSun1)=1,IF(AND(YEAR(OctSun1+21)=CalendarYear,MONTH(OctSun1+21)=10),OctSun1+21,""),IF(AND(YEAR(OctSun1+28)=CalendarYear,MONTH(OctSun1+28)=10),OctSun1+28,""))</f>
        <v>46320</v>
      </c>
      <c r="J33" s="18"/>
      <c r="K33" s="10">
        <f>IF(DAY(NovSun1)=1,IF(AND(YEAR(NovSun1+15)=CalendarYear,MONTH(NovSun1+15)=11),NovSun1+15,""),IF(AND(YEAR(NovSun1+22)=CalendarYear,MONTH(NovSun1+22)=11),NovSun1+22,""))</f>
        <v>46342</v>
      </c>
      <c r="L33" s="10">
        <f>IF(DAY(NovSun1)=1,IF(AND(YEAR(NovSun1+16)=CalendarYear,MONTH(NovSun1+16)=11),NovSun1+16,""),IF(AND(YEAR(NovSun1+23)=CalendarYear,MONTH(NovSun1+23)=11),NovSun1+23,""))</f>
        <v>46343</v>
      </c>
      <c r="M33" s="10">
        <f>IF(DAY(NovSun1)=1,IF(AND(YEAR(NovSun1+17)=CalendarYear,MONTH(NovSun1+17)=11),NovSun1+17,""),IF(AND(YEAR(NovSun1+24)=CalendarYear,MONTH(NovSun1+24)=11),NovSun1+24,""))</f>
        <v>46344</v>
      </c>
      <c r="N33" s="10">
        <f>IF(DAY(NovSun1)=1,IF(AND(YEAR(NovSun1+18)=CalendarYear,MONTH(NovSun1+18)=11),NovSun1+18,""),IF(AND(YEAR(NovSun1+25)=CalendarYear,MONTH(NovSun1+25)=11),NovSun1+25,""))</f>
        <v>46345</v>
      </c>
      <c r="O33" s="10">
        <f>IF(DAY(NovSun1)=1,IF(AND(YEAR(NovSun1+19)=CalendarYear,MONTH(NovSun1+19)=11),NovSun1+19,""),IF(AND(YEAR(NovSun1+26)=CalendarYear,MONTH(NovSun1+26)=11),NovSun1+26,""))</f>
        <v>46346</v>
      </c>
      <c r="P33" s="10">
        <f>IF(DAY(NovSun1)=1,IF(AND(YEAR(NovSun1+20)=CalendarYear,MONTH(NovSun1+20)=11),NovSun1+20,""),IF(AND(YEAR(NovSun1+27)=CalendarYear,MONTH(NovSun1+27)=11),NovSun1+27,""))</f>
        <v>46347</v>
      </c>
      <c r="Q33" s="10">
        <f>IF(DAY(NovSun1)=1,IF(AND(YEAR(NovSun1+21)=CalendarYear,MONTH(NovSun1+21)=11),NovSun1+21,""),IF(AND(YEAR(NovSun1+28)=CalendarYear,MONTH(NovSun1+28)=11),NovSun1+28,""))</f>
        <v>46348</v>
      </c>
      <c r="R33" s="18"/>
      <c r="S33" s="29">
        <f>IF(DAY(DecSun1)=1,IF(AND(YEAR(DecSun1+15)=CalendarYear,MONTH(DecSun1+15)=12),DecSun1+15,""),IF(AND(YEAR(DecSun1+22)=CalendarYear,MONTH(DecSun1+22)=12),DecSun1+22,""))</f>
        <v>46377</v>
      </c>
      <c r="T33" s="10">
        <f>IF(DAY(DecSun1)=1,IF(AND(YEAR(DecSun1+16)=CalendarYear,MONTH(DecSun1+16)=12),DecSun1+16,""),IF(AND(YEAR(DecSun1+23)=CalendarYear,MONTH(DecSun1+23)=12),DecSun1+23,""))</f>
        <v>46378</v>
      </c>
      <c r="U33" s="10">
        <f>IF(DAY(DecSun1)=1,IF(AND(YEAR(DecSun1+17)=CalendarYear,MONTH(DecSun1+17)=12),DecSun1+17,""),IF(AND(YEAR(DecSun1+24)=CalendarYear,MONTH(DecSun1+24)=12),DecSun1+24,""))</f>
        <v>46379</v>
      </c>
      <c r="V33" s="10">
        <f>IF(DAY(DecSun1)=1,IF(AND(YEAR(DecSun1+18)=CalendarYear,MONTH(DecSun1+18)=12),DecSun1+18,""),IF(AND(YEAR(DecSun1+25)=CalendarYear,MONTH(DecSun1+25)=12),DecSun1+25,""))</f>
        <v>46380</v>
      </c>
      <c r="W33" s="10">
        <f>IF(DAY(DecSun1)=1,IF(AND(YEAR(DecSun1+19)=CalendarYear,MONTH(DecSun1+19)=12),DecSun1+19,""),IF(AND(YEAR(DecSun1+26)=CalendarYear,MONTH(DecSun1+26)=12),DecSun1+26,""))</f>
        <v>46381</v>
      </c>
      <c r="X33" s="10">
        <f>IF(DAY(DecSun1)=1,IF(AND(YEAR(DecSun1+20)=CalendarYear,MONTH(DecSun1+20)=12),DecSun1+20,""),IF(AND(YEAR(DecSun1+27)=CalendarYear,MONTH(DecSun1+27)=12),DecSun1+27,""))</f>
        <v>46382</v>
      </c>
      <c r="Y33" s="27">
        <f>IF(DAY(DecSun1)=1,IF(AND(YEAR(DecSun1+21)=CalendarYear,MONTH(DecSun1+21)=12),DecSun1+21,""),IF(AND(YEAR(DecSun1+28)=CalendarYear,MONTH(DecSun1+28)=12),DecSun1+28,""))</f>
        <v>46383</v>
      </c>
    </row>
    <row r="34" spans="3:28" ht="15" customHeight="1" x14ac:dyDescent="0.2">
      <c r="C34" s="17">
        <f>IF(DAY(OctSun1)=1,IF(AND(YEAR(OctSun1+22)=CalendarYear,MONTH(OctSun1+22)=10),OctSun1+22,""),IF(AND(YEAR(OctSun1+29)=CalendarYear,MONTH(OctSun1+29)=10),OctSun1+29,""))</f>
        <v>46321</v>
      </c>
      <c r="D34" s="10">
        <f>IF(DAY(OctSun1)=1,IF(AND(YEAR(OctSun1+23)=CalendarYear,MONTH(OctSun1+23)=10),OctSun1+23,""),IF(AND(YEAR(OctSun1+30)=CalendarYear,MONTH(OctSun1+30)=10),OctSun1+30,""))</f>
        <v>46322</v>
      </c>
      <c r="E34" s="10">
        <f>IF(DAY(OctSun1)=1,IF(AND(YEAR(OctSun1+24)=CalendarYear,MONTH(OctSun1+24)=10),OctSun1+24,""),IF(AND(YEAR(OctSun1+31)=CalendarYear,MONTH(OctSun1+31)=10),OctSun1+31,""))</f>
        <v>46323</v>
      </c>
      <c r="F34" s="10">
        <f>IF(DAY(OctSun1)=1,IF(AND(YEAR(OctSun1+25)=CalendarYear,MONTH(OctSun1+25)=10),OctSun1+25,""),IF(AND(YEAR(OctSun1+32)=CalendarYear,MONTH(OctSun1+32)=10),OctSun1+32,""))</f>
        <v>46324</v>
      </c>
      <c r="G34" s="10">
        <f>IF(DAY(OctSun1)=1,IF(AND(YEAR(OctSun1+26)=CalendarYear,MONTH(OctSun1+26)=10),OctSun1+26,""),IF(AND(YEAR(OctSun1+33)=CalendarYear,MONTH(OctSun1+33)=10),OctSun1+33,""))</f>
        <v>46325</v>
      </c>
      <c r="H34" s="10">
        <f>IF(DAY(OctSun1)=1,IF(AND(YEAR(OctSun1+27)=CalendarYear,MONTH(OctSun1+27)=10),OctSun1+27,""),IF(AND(YEAR(OctSun1+34)=CalendarYear,MONTH(OctSun1+34)=10),OctSun1+34,""))</f>
        <v>46326</v>
      </c>
      <c r="I34" s="10" t="str">
        <f>IF(DAY(OctSun1)=1,IF(AND(YEAR(OctSun1+28)=CalendarYear,MONTH(OctSun1+28)=10),OctSun1+28,""),IF(AND(YEAR(OctSun1+35)=CalendarYear,MONTH(OctSun1+35)=10),OctSun1+35,""))</f>
        <v/>
      </c>
      <c r="J34" s="18"/>
      <c r="K34" s="10">
        <f>IF(DAY(NovSun1)=1,IF(AND(YEAR(NovSun1+22)=CalendarYear,MONTH(NovSun1+22)=11),NovSun1+22,""),IF(AND(YEAR(NovSun1+29)=CalendarYear,MONTH(NovSun1+29)=11),NovSun1+29,""))</f>
        <v>46349</v>
      </c>
      <c r="L34" s="10">
        <f>IF(DAY(NovSun1)=1,IF(AND(YEAR(NovSun1+23)=CalendarYear,MONTH(NovSun1+23)=11),NovSun1+23,""),IF(AND(YEAR(NovSun1+30)=CalendarYear,MONTH(NovSun1+30)=11),NovSun1+30,""))</f>
        <v>46350</v>
      </c>
      <c r="M34" s="10">
        <f>IF(DAY(NovSun1)=1,IF(AND(YEAR(NovSun1+24)=CalendarYear,MONTH(NovSun1+24)=11),NovSun1+24,""),IF(AND(YEAR(NovSun1+31)=CalendarYear,MONTH(NovSun1+31)=11),NovSun1+31,""))</f>
        <v>46351</v>
      </c>
      <c r="N34" s="10">
        <f>IF(DAY(NovSun1)=1,IF(AND(YEAR(NovSun1+25)=CalendarYear,MONTH(NovSun1+25)=11),NovSun1+25,""),IF(AND(YEAR(NovSun1+32)=CalendarYear,MONTH(NovSun1+32)=11),NovSun1+32,""))</f>
        <v>46352</v>
      </c>
      <c r="O34" s="10">
        <f>IF(DAY(NovSun1)=1,IF(AND(YEAR(NovSun1+26)=CalendarYear,MONTH(NovSun1+26)=11),NovSun1+26,""),IF(AND(YEAR(NovSun1+33)=CalendarYear,MONTH(NovSun1+33)=11),NovSun1+33,""))</f>
        <v>46353</v>
      </c>
      <c r="P34" s="10">
        <f>IF(DAY(NovSun1)=1,IF(AND(YEAR(NovSun1+27)=CalendarYear,MONTH(NovSun1+27)=11),NovSun1+27,""),IF(AND(YEAR(NovSun1+34)=CalendarYear,MONTH(NovSun1+34)=11),NovSun1+34,""))</f>
        <v>46354</v>
      </c>
      <c r="Q34" s="10">
        <f>IF(DAY(NovSun1)=1,IF(AND(YEAR(NovSun1+28)=CalendarYear,MONTH(NovSun1+28)=11),NovSun1+28,""),IF(AND(YEAR(NovSun1+35)=CalendarYear,MONTH(NovSun1+35)=11),NovSun1+35,""))</f>
        <v>46355</v>
      </c>
      <c r="R34" s="18"/>
      <c r="S34" s="13">
        <f>IF(DAY(DecSun1)=1,IF(AND(YEAR(DecSun1+22)=CalendarYear,MONTH(DecSun1+22)=12),DecSun1+22,""),IF(AND(YEAR(DecSun1+29)=CalendarYear,MONTH(DecSun1+29)=12),DecSun1+29,""))</f>
        <v>46384</v>
      </c>
      <c r="T34" s="10">
        <f>IF(DAY(DecSun1)=1,IF(AND(YEAR(DecSun1+23)=CalendarYear,MONTH(DecSun1+23)=12),DecSun1+23,""),IF(AND(YEAR(DecSun1+30)=CalendarYear,MONTH(DecSun1+30)=12),DecSun1+30,""))</f>
        <v>46385</v>
      </c>
      <c r="U34" s="10">
        <f>IF(DAY(DecSun1)=1,IF(AND(YEAR(DecSun1+24)=CalendarYear,MONTH(DecSun1+24)=12),DecSun1+24,""),IF(AND(YEAR(DecSun1+31)=CalendarYear,MONTH(DecSun1+31)=12),DecSun1+31,""))</f>
        <v>46386</v>
      </c>
      <c r="V34" s="30">
        <f>IF(DAY(DecSun1)=1,IF(AND(YEAR(DecSun1+25)=CalendarYear,MONTH(DecSun1+25)=12),DecSun1+25,""),IF(AND(YEAR(DecSun1+32)=CalendarYear,MONTH(DecSun1+32)=12),DecSun1+32,""))</f>
        <v>46387</v>
      </c>
      <c r="W34" s="10" t="str">
        <f>IF(DAY(DecSun1)=1,IF(AND(YEAR(DecSun1+26)=CalendarYear,MONTH(DecSun1+26)=12),DecSun1+26,""),IF(AND(YEAR(DecSun1+33)=CalendarYear,MONTH(DecSun1+33)=12),DecSun1+33,""))</f>
        <v/>
      </c>
      <c r="X34" s="10" t="str">
        <f>IF(DAY(DecSun1)=1,IF(AND(YEAR(DecSun1+27)=CalendarYear,MONTH(DecSun1+27)=12),DecSun1+27,""),IF(AND(YEAR(DecSun1+34)=CalendarYear,MONTH(DecSun1+34)=12),DecSun1+34,""))</f>
        <v/>
      </c>
      <c r="Y34" s="27" t="str">
        <f>IF(DAY(DecSun1)=1,IF(AND(YEAR(DecSun1+28)=CalendarYear,MONTH(DecSun1+28)=12),DecSun1+28,""),IF(AND(YEAR(DecSun1+35)=CalendarYear,MONTH(DecSun1+35)=12),DecSun1+35,""))</f>
        <v/>
      </c>
    </row>
    <row r="35" spans="3:28" ht="15" customHeight="1" x14ac:dyDescent="0.2">
      <c r="C35" s="17" t="str">
        <f>IF(DAY(OctSun1)=1,IF(AND(YEAR(OctSun1+29)=CalendarYear,MONTH(OctSun1+29)=10),OctSun1+29,""),IF(AND(YEAR(OctSun1+36)=CalendarYear,MONTH(OctSun1+36)=10),OctSun1+36,""))</f>
        <v/>
      </c>
      <c r="D35" s="10" t="str">
        <f>IF(DAY(OctSun1)=1,IF(AND(YEAR(OctSun1+30)=CalendarYear,MONTH(OctSun1+30)=10),OctSun1+30,""),IF(AND(YEAR(OctSun1+37)=CalendarYear,MONTH(OctSun1+37)=10),OctSun1+37,""))</f>
        <v/>
      </c>
      <c r="E35" s="10" t="str">
        <f>IF(DAY(OctSun1)=1,IF(AND(YEAR(OctSun1+31)=CalendarYear,MONTH(OctSun1+31)=10),OctSun1+31,""),IF(AND(YEAR(OctSun1+38)=CalendarYear,MONTH(OctSun1+38)=10),OctSun1+38,""))</f>
        <v/>
      </c>
      <c r="F35" s="10" t="str">
        <f>IF(DAY(OctSun1)=1,IF(AND(YEAR(OctSun1+32)=CalendarYear,MONTH(OctSun1+32)=10),OctSun1+32,""),IF(AND(YEAR(OctSun1+39)=CalendarYear,MONTH(OctSun1+39)=10),OctSun1+39,""))</f>
        <v/>
      </c>
      <c r="G35" s="10" t="str">
        <f>IF(DAY(OctSun1)=1,IF(AND(YEAR(OctSun1+33)=CalendarYear,MONTH(OctSun1+33)=10),OctSun1+33,""),IF(AND(YEAR(OctSun1+40)=CalendarYear,MONTH(OctSun1+40)=10),OctSun1+40,""))</f>
        <v/>
      </c>
      <c r="H35" s="10" t="str">
        <f>IF(DAY(OctSun1)=1,IF(AND(YEAR(OctSun1+34)=CalendarYear,MONTH(OctSun1+34)=10),OctSun1+34,""),IF(AND(YEAR(OctSun1+41)=CalendarYear,MONTH(OctSun1+41)=10),OctSun1+41,""))</f>
        <v/>
      </c>
      <c r="I35" s="10" t="str">
        <f>IF(DAY(OctSun1)=1,IF(AND(YEAR(OctSun1+35)=CalendarYear,MONTH(OctSun1+35)=10),OctSun1+35,""),IF(AND(YEAR(OctSun1+42)=CalendarYear,MONTH(OctSun1+42)=10),OctSun1+42,""))</f>
        <v/>
      </c>
      <c r="J35" s="18"/>
      <c r="K35" s="10">
        <f>IF(DAY(NovSun1)=1,IF(AND(YEAR(NovSun1+29)=CalendarYear,MONTH(NovSun1+29)=11),NovSun1+29,""),IF(AND(YEAR(NovSun1+36)=CalendarYear,MONTH(NovSun1+36)=11),NovSun1+36,""))</f>
        <v>46356</v>
      </c>
      <c r="L35" s="10" t="str">
        <f>IF(DAY(NovSun1)=1,IF(AND(YEAR(NovSun1+30)=CalendarYear,MONTH(NovSun1+30)=11),NovSun1+30,""),IF(AND(YEAR(NovSun1+37)=CalendarYear,MONTH(NovSun1+37)=11),NovSun1+37,""))</f>
        <v/>
      </c>
      <c r="M35" s="10" t="str">
        <f>IF(DAY(NovSun1)=1,IF(AND(YEAR(NovSun1+31)=CalendarYear,MONTH(NovSun1+31)=11),NovSun1+31,""),IF(AND(YEAR(NovSun1+38)=CalendarYear,MONTH(NovSun1+38)=11),NovSun1+38,""))</f>
        <v/>
      </c>
      <c r="N35" s="10" t="str">
        <f>IF(DAY(NovSun1)=1,IF(AND(YEAR(NovSun1+32)=CalendarYear,MONTH(NovSun1+32)=11),NovSun1+32,""),IF(AND(YEAR(NovSun1+39)=CalendarYear,MONTH(NovSun1+39)=11),NovSun1+39,""))</f>
        <v/>
      </c>
      <c r="O35" s="10" t="str">
        <f>IF(DAY(NovSun1)=1,IF(AND(YEAR(NovSun1+33)=CalendarYear,MONTH(NovSun1+33)=11),NovSun1+33,""),IF(AND(YEAR(NovSun1+40)=CalendarYear,MONTH(NovSun1+40)=11),NovSun1+40,""))</f>
        <v/>
      </c>
      <c r="P35" s="10" t="str">
        <f>IF(DAY(NovSun1)=1,IF(AND(YEAR(NovSun1+34)=CalendarYear,MONTH(NovSun1+34)=11),NovSun1+34,""),IF(AND(YEAR(NovSun1+41)=CalendarYear,MONTH(NovSun1+41)=11),NovSun1+41,""))</f>
        <v/>
      </c>
      <c r="Q35" s="10" t="str">
        <f>IF(DAY(NovSun1)=1,IF(AND(YEAR(NovSun1+35)=CalendarYear,MONTH(NovSun1+35)=11),NovSun1+35,""),IF(AND(YEAR(NovSun1+42)=CalendarYear,MONTH(NovSun1+42)=11),NovSun1+42,""))</f>
        <v/>
      </c>
      <c r="R35" s="18"/>
      <c r="S35" s="10" t="str">
        <f>IF(DAY(DecSun1)=1,IF(AND(YEAR(DecSun1+29)=CalendarYear,MONTH(DecSun1+29)=12),DecSun1+29,""),IF(AND(YEAR(DecSun1+36)=CalendarYear,MONTH(DecSun1+36)=12),DecSun1+36,""))</f>
        <v/>
      </c>
      <c r="T35" s="10" t="str">
        <f>IF(DAY(DecSun1)=1,IF(AND(YEAR(DecSun1+30)=CalendarYear,MONTH(DecSun1+30)=12),DecSun1+30,""),IF(AND(YEAR(DecSun1+37)=CalendarYear,MONTH(DecSun1+37)=12),DecSun1+37,""))</f>
        <v/>
      </c>
      <c r="U35" s="10" t="str">
        <f>IF(DAY(DecSun1)=1,IF(AND(YEAR(DecSun1+31)=CalendarYear,MONTH(DecSun1+31)=12),DecSun1+31,""),IF(AND(YEAR(DecSun1+38)=CalendarYear,MONTH(DecSun1+38)=12),DecSun1+38,""))</f>
        <v/>
      </c>
      <c r="V35" s="10" t="str">
        <f>IF(DAY(DecSun1)=1,IF(AND(YEAR(DecSun1+32)=CalendarYear,MONTH(DecSun1+32)=12),DecSun1+32,""),IF(AND(YEAR(DecSun1+39)=CalendarYear,MONTH(DecSun1+39)=12),DecSun1+39,""))</f>
        <v/>
      </c>
      <c r="W35" s="10" t="str">
        <f>IF(DAY(DecSun1)=1,IF(AND(YEAR(DecSun1+33)=CalendarYear,MONTH(DecSun1+33)=12),DecSun1+33,""),IF(AND(YEAR(DecSun1+40)=CalendarYear,MONTH(DecSun1+40)=12),DecSun1+40,""))</f>
        <v/>
      </c>
      <c r="X35" s="10" t="str">
        <f>IF(DAY(DecSun1)=1,IF(AND(YEAR(DecSun1+34)=CalendarYear,MONTH(DecSun1+34)=12),DecSun1+34,""),IF(AND(YEAR(DecSun1+41)=CalendarYear,MONTH(DecSun1+41)=12),DecSun1+41,""))</f>
        <v/>
      </c>
      <c r="Y35" s="27" t="str">
        <f>IF(DAY(DecSun1)=1,IF(AND(YEAR(DecSun1+35)=CalendarYear,MONTH(DecSun1+35)=12),DecSun1+35,""),IF(AND(YEAR(DecSun1+42)=CalendarYear,MONTH(DecSun1+42)=12),DecSun1+42,""))</f>
        <v/>
      </c>
    </row>
    <row r="36" spans="3:28" ht="15" customHeight="1" x14ac:dyDescent="0.2">
      <c r="C36" s="19"/>
      <c r="D36" s="18"/>
      <c r="E36" s="18"/>
      <c r="F36" s="18"/>
      <c r="G36" s="18"/>
      <c r="H36" s="18"/>
      <c r="I36" s="18"/>
      <c r="J36" s="18"/>
      <c r="K36" s="2"/>
      <c r="L36" s="2"/>
      <c r="M36" s="2"/>
      <c r="N36" s="2"/>
      <c r="O36" s="2"/>
      <c r="P36" s="2"/>
      <c r="Q36" s="2"/>
      <c r="R36" s="18"/>
      <c r="S36" s="24"/>
      <c r="T36" s="24"/>
      <c r="U36" s="24"/>
      <c r="V36" s="18"/>
      <c r="W36" s="18"/>
      <c r="X36" s="18"/>
      <c r="Y36" s="25"/>
    </row>
    <row r="37" spans="3:28" ht="15" customHeight="1" x14ac:dyDescent="0.2">
      <c r="C37" s="78" t="s">
        <v>71</v>
      </c>
      <c r="D37" s="79"/>
      <c r="E37" s="79"/>
      <c r="F37" s="79"/>
      <c r="G37" s="79"/>
      <c r="H37" s="79"/>
      <c r="I37" s="79"/>
      <c r="J37" s="79"/>
      <c r="K37" s="79"/>
      <c r="L37" s="79"/>
      <c r="M37" s="79"/>
      <c r="N37" s="79"/>
      <c r="O37" s="79"/>
      <c r="P37" s="79"/>
      <c r="Q37" s="79"/>
      <c r="R37" s="79"/>
      <c r="S37" s="79"/>
      <c r="T37" s="79"/>
      <c r="U37" s="79"/>
      <c r="V37" s="79"/>
      <c r="W37" s="79"/>
      <c r="X37" s="79"/>
      <c r="Y37" s="80"/>
      <c r="Z37" s="68"/>
      <c r="AA37" s="68"/>
      <c r="AB37" s="68"/>
    </row>
    <row r="38" spans="3:28" ht="15" customHeight="1" x14ac:dyDescent="0.2">
      <c r="C38" s="78"/>
      <c r="D38" s="79"/>
      <c r="E38" s="79"/>
      <c r="F38" s="79"/>
      <c r="G38" s="79"/>
      <c r="H38" s="79"/>
      <c r="I38" s="79"/>
      <c r="J38" s="79"/>
      <c r="K38" s="79"/>
      <c r="L38" s="79"/>
      <c r="M38" s="79"/>
      <c r="N38" s="79"/>
      <c r="O38" s="79"/>
      <c r="P38" s="79"/>
      <c r="Q38" s="79"/>
      <c r="R38" s="79"/>
      <c r="S38" s="79"/>
      <c r="T38" s="79"/>
      <c r="U38" s="79"/>
      <c r="V38" s="79"/>
      <c r="W38" s="79"/>
      <c r="X38" s="79"/>
      <c r="Y38" s="80"/>
      <c r="Z38" s="68"/>
      <c r="AA38" s="68"/>
      <c r="AB38" s="68"/>
    </row>
    <row r="39" spans="3:28" ht="358.5" customHeight="1" x14ac:dyDescent="0.2">
      <c r="C39" s="81"/>
      <c r="D39" s="82"/>
      <c r="E39" s="82"/>
      <c r="F39" s="82"/>
      <c r="G39" s="82"/>
      <c r="H39" s="82"/>
      <c r="I39" s="82"/>
      <c r="J39" s="82"/>
      <c r="K39" s="82"/>
      <c r="L39" s="82"/>
      <c r="M39" s="82"/>
      <c r="N39" s="82"/>
      <c r="O39" s="82"/>
      <c r="P39" s="82"/>
      <c r="Q39" s="82"/>
      <c r="R39" s="82"/>
      <c r="S39" s="82"/>
      <c r="T39" s="82"/>
      <c r="U39" s="82"/>
      <c r="V39" s="82"/>
      <c r="W39" s="82"/>
      <c r="X39" s="82"/>
      <c r="Y39" s="83"/>
      <c r="Z39" s="68"/>
      <c r="AA39" s="68"/>
      <c r="AB39" s="68"/>
    </row>
    <row r="40" spans="3:28" ht="15" customHeight="1" x14ac:dyDescent="0.2"/>
    <row r="41" spans="3:28" ht="15" customHeight="1" x14ac:dyDescent="0.2"/>
    <row r="42" spans="3:28" ht="15" customHeight="1" x14ac:dyDescent="0.2"/>
    <row r="43" spans="3:28" ht="15" customHeight="1" x14ac:dyDescent="0.2"/>
    <row r="44" spans="3:28" ht="15" customHeight="1" x14ac:dyDescent="0.2"/>
    <row r="45" spans="3:28" ht="15" customHeight="1" x14ac:dyDescent="0.2"/>
    <row r="46" spans="3:28" ht="15" customHeight="1" x14ac:dyDescent="0.2"/>
    <row r="47" spans="3:28" ht="15" customHeight="1" x14ac:dyDescent="0.2"/>
    <row r="48" spans="3:28" ht="15" customHeight="1" x14ac:dyDescent="0.2"/>
    <row r="49" ht="15" customHeight="1" x14ac:dyDescent="0.2"/>
  </sheetData>
  <mergeCells count="20">
    <mergeCell ref="C37:Y39"/>
    <mergeCell ref="AA29:AA30"/>
    <mergeCell ref="C20:I20"/>
    <mergeCell ref="K20:Q20"/>
    <mergeCell ref="S20:Y20"/>
    <mergeCell ref="AA19:AB27"/>
    <mergeCell ref="C28:I28"/>
    <mergeCell ref="K28:Q28"/>
    <mergeCell ref="S28:Y28"/>
    <mergeCell ref="AA7:AA12"/>
    <mergeCell ref="C12:I12"/>
    <mergeCell ref="K12:Q12"/>
    <mergeCell ref="S12:Y12"/>
    <mergeCell ref="AA14:AA17"/>
    <mergeCell ref="AA4:AA5"/>
    <mergeCell ref="C2:T2"/>
    <mergeCell ref="V2:Y2"/>
    <mergeCell ref="C4:I4"/>
    <mergeCell ref="K4:Q4"/>
    <mergeCell ref="S4:Y4"/>
  </mergeCells>
  <dataValidations disablePrompts="1" count="1">
    <dataValidation allowBlank="1" showInputMessage="1" showErrorMessage="1" errorTitle="Invalid Year" error="Enter a year from 1900 to 9999, or use the scroll bar to find a year." sqref="V2" xr:uid="{B5072002-7DBF-4C7B-B953-7C877B3EF041}"/>
  </dataValidations>
  <printOptions horizontalCentered="1" verticalCentered="1"/>
  <pageMargins left="0.5" right="0.5" top="0.5" bottom="0.5" header="0.3" footer="0.3"/>
  <pageSetup paperSize="9" orientation="portrait" r:id="rId1"/>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3D6EE-78CE-49D5-B3E7-F5E5B9C59DD3}">
  <dimension ref="B2:F31"/>
  <sheetViews>
    <sheetView showGridLines="0" zoomScale="130" zoomScaleNormal="130" workbookViewId="0">
      <selection activeCell="M17" sqref="M17"/>
    </sheetView>
  </sheetViews>
  <sheetFormatPr defaultRowHeight="11.25" x14ac:dyDescent="0.2"/>
  <cols>
    <col min="2" max="2" width="55.6640625" customWidth="1"/>
    <col min="3" max="4" width="15.5" bestFit="1" customWidth="1"/>
    <col min="6" max="6" width="16.1640625" bestFit="1" customWidth="1"/>
  </cols>
  <sheetData>
    <row r="2" spans="2:6" ht="26.25" x14ac:dyDescent="0.2">
      <c r="B2" s="66" t="s">
        <v>68</v>
      </c>
      <c r="C2" s="45"/>
      <c r="D2" s="37"/>
    </row>
    <row r="3" spans="2:6" ht="17.25" customHeight="1" x14ac:dyDescent="0.2">
      <c r="B3" s="36"/>
      <c r="C3" s="61" t="s">
        <v>69</v>
      </c>
      <c r="D3" s="25" t="s">
        <v>64</v>
      </c>
    </row>
    <row r="4" spans="2:6" x14ac:dyDescent="0.2">
      <c r="B4" s="38" t="s">
        <v>30</v>
      </c>
      <c r="C4" s="62">
        <v>1</v>
      </c>
      <c r="D4" s="63">
        <v>2026</v>
      </c>
    </row>
    <row r="5" spans="2:6" hidden="1" x14ac:dyDescent="0.2">
      <c r="B5" s="39" t="s">
        <v>65</v>
      </c>
      <c r="C5" s="46"/>
      <c r="D5" s="40" t="str">
        <f>"01/"&amp;C4&amp;"/"&amp;D4</f>
        <v>01/1/2026</v>
      </c>
    </row>
    <row r="6" spans="2:6" hidden="1" x14ac:dyDescent="0.2">
      <c r="B6" s="39" t="s">
        <v>25</v>
      </c>
      <c r="C6" s="46"/>
      <c r="D6" s="40">
        <f>WORKDAY((EOMONTH(DATE(YEAR(D5)+5,ROUNDDOWN(MONTH(D5)/3,0)*3,1),0)+1),0)</f>
        <v>47849</v>
      </c>
      <c r="F6" s="59"/>
    </row>
    <row r="7" spans="2:6" hidden="1" x14ac:dyDescent="0.2">
      <c r="B7" s="39" t="s">
        <v>62</v>
      </c>
      <c r="C7" s="46"/>
      <c r="D7" s="40">
        <f>IF(WEEKDAY(D6,2)&lt;=5,D6,WORKDAY(D6,1))</f>
        <v>47849</v>
      </c>
      <c r="F7" s="59"/>
    </row>
    <row r="8" spans="2:6" hidden="1" x14ac:dyDescent="0.2">
      <c r="B8" s="39" t="s">
        <v>63</v>
      </c>
      <c r="C8" s="46"/>
      <c r="D8" s="40">
        <f>IF(ISNUMBER(MATCH(D7, 'Holiday Calendar'!$B$3:$B$2000, 0)), D7 + 1, D7)</f>
        <v>47850</v>
      </c>
      <c r="F8" s="59"/>
    </row>
    <row r="9" spans="2:6" ht="15" hidden="1" x14ac:dyDescent="0.25">
      <c r="B9" s="39" t="s">
        <v>24</v>
      </c>
      <c r="C9" s="46"/>
      <c r="D9" s="41">
        <f ca="1">DATE(YEAR(TODAY()) + (MONTH(TODAY()) &gt;= 10), CHOOSE(MATCH(MONTH(TODAY()), {1,4,7,10}, 1), 4, 7, 10, 1), 1)</f>
        <v>45931</v>
      </c>
      <c r="F9" s="60"/>
    </row>
    <row r="10" spans="2:6" hidden="1" x14ac:dyDescent="0.2">
      <c r="B10" s="39" t="s">
        <v>62</v>
      </c>
      <c r="C10" s="46"/>
      <c r="D10" s="41">
        <f ca="1">IF(WEEKDAY(D9,2)&lt;=5,D9,WORKDAY(D9,1))</f>
        <v>45931</v>
      </c>
    </row>
    <row r="11" spans="2:6" hidden="1" x14ac:dyDescent="0.2">
      <c r="B11" s="39" t="s">
        <v>63</v>
      </c>
      <c r="C11" s="46"/>
      <c r="D11" s="41">
        <f ca="1">IF(ISNUMBER(MATCH(D10, 'Holiday Calendar'!$B$3:$B$2000, 0)), D10 + 1, D10)</f>
        <v>45931</v>
      </c>
    </row>
    <row r="12" spans="2:6" x14ac:dyDescent="0.2">
      <c r="B12" s="38"/>
      <c r="C12" s="43"/>
      <c r="D12" s="42"/>
    </row>
    <row r="13" spans="2:6" x14ac:dyDescent="0.2">
      <c r="B13" s="38" t="s">
        <v>28</v>
      </c>
      <c r="C13" s="43"/>
      <c r="D13" s="48">
        <f ca="1">IF(D4="","",IF(D11&lt;D8,D8,D11))</f>
        <v>47850</v>
      </c>
      <c r="F13" s="51"/>
    </row>
    <row r="14" spans="2:6" x14ac:dyDescent="0.2">
      <c r="B14" s="38" t="s">
        <v>26</v>
      </c>
      <c r="C14" s="43"/>
      <c r="D14" s="49"/>
      <c r="F14" s="57"/>
    </row>
    <row r="15" spans="2:6" x14ac:dyDescent="0.2">
      <c r="B15" s="44" t="s">
        <v>29</v>
      </c>
      <c r="C15" s="47" t="s">
        <v>31</v>
      </c>
      <c r="D15" s="50">
        <f ca="1">WORKDAY(IF(D4="","",DATE(YEAR(D13)-1,MONTH(D13),DAY(D13))),-1,'Holiday Calendar'!$B$3:$B$99)</f>
        <v>47480</v>
      </c>
      <c r="F15" s="57"/>
    </row>
    <row r="17" spans="2:4" ht="207" customHeight="1" x14ac:dyDescent="0.2">
      <c r="B17" s="90" t="s">
        <v>66</v>
      </c>
      <c r="C17" s="90"/>
      <c r="D17" s="90"/>
    </row>
    <row r="18" spans="2:4" ht="12" customHeight="1" x14ac:dyDescent="0.2">
      <c r="B18" s="64"/>
      <c r="C18" s="64"/>
      <c r="D18" s="64"/>
    </row>
    <row r="19" spans="2:4" s="65" customFormat="1" ht="330.75" customHeight="1" x14ac:dyDescent="0.2">
      <c r="B19" s="91" t="s">
        <v>70</v>
      </c>
      <c r="C19" s="91"/>
      <c r="D19" s="91"/>
    </row>
    <row r="20" spans="2:4" s="65" customFormat="1" x14ac:dyDescent="0.2">
      <c r="B20" s="90"/>
      <c r="C20" s="90"/>
      <c r="D20" s="90"/>
    </row>
    <row r="21" spans="2:4" s="65" customFormat="1" x14ac:dyDescent="0.2">
      <c r="B21" s="90"/>
      <c r="C21" s="90"/>
      <c r="D21" s="90"/>
    </row>
    <row r="22" spans="2:4" s="65" customFormat="1" x14ac:dyDescent="0.2">
      <c r="B22" s="90"/>
      <c r="C22" s="90"/>
      <c r="D22" s="90"/>
    </row>
    <row r="23" spans="2:4" s="65" customFormat="1" x14ac:dyDescent="0.2">
      <c r="B23" s="90"/>
      <c r="C23" s="90"/>
      <c r="D23" s="90"/>
    </row>
    <row r="24" spans="2:4" s="65" customFormat="1" x14ac:dyDescent="0.2">
      <c r="B24" s="90"/>
      <c r="C24" s="90"/>
      <c r="D24" s="90"/>
    </row>
    <row r="25" spans="2:4" s="65" customFormat="1" x14ac:dyDescent="0.2">
      <c r="B25" s="90"/>
      <c r="C25" s="90"/>
      <c r="D25" s="90"/>
    </row>
    <row r="26" spans="2:4" s="65" customFormat="1" x14ac:dyDescent="0.2">
      <c r="B26" s="90"/>
      <c r="C26" s="90"/>
      <c r="D26" s="90"/>
    </row>
    <row r="27" spans="2:4" s="65" customFormat="1" x14ac:dyDescent="0.2">
      <c r="B27" s="90"/>
      <c r="C27" s="90"/>
      <c r="D27" s="90"/>
    </row>
    <row r="28" spans="2:4" s="65" customFormat="1" x14ac:dyDescent="0.2">
      <c r="B28" s="90"/>
      <c r="C28" s="90"/>
      <c r="D28" s="90"/>
    </row>
    <row r="29" spans="2:4" s="65" customFormat="1" x14ac:dyDescent="0.2">
      <c r="B29" s="90"/>
      <c r="C29" s="90"/>
      <c r="D29" s="90"/>
    </row>
    <row r="30" spans="2:4" s="65" customFormat="1" x14ac:dyDescent="0.2">
      <c r="B30" s="90"/>
      <c r="C30" s="90"/>
      <c r="D30" s="90"/>
    </row>
    <row r="31" spans="2:4" ht="22.5" customHeight="1" x14ac:dyDescent="0.2">
      <c r="B31" s="90"/>
      <c r="C31" s="90"/>
      <c r="D31" s="90"/>
    </row>
  </sheetData>
  <sheetProtection formatRows="0"/>
  <protectedRanges>
    <protectedRange sqref="D4" name="Range1"/>
  </protectedRanges>
  <mergeCells count="14">
    <mergeCell ref="B17:D17"/>
    <mergeCell ref="B19:D19"/>
    <mergeCell ref="B20:D20"/>
    <mergeCell ref="B21:D21"/>
    <mergeCell ref="B22:D22"/>
    <mergeCell ref="B28:D28"/>
    <mergeCell ref="B29:D29"/>
    <mergeCell ref="B30:D30"/>
    <mergeCell ref="B31:D31"/>
    <mergeCell ref="B23:D23"/>
    <mergeCell ref="B24:D24"/>
    <mergeCell ref="B25:D25"/>
    <mergeCell ref="B26:D26"/>
    <mergeCell ref="B27:D27"/>
  </mergeCells>
  <dataValidations count="2">
    <dataValidation type="list" allowBlank="1" showInputMessage="1" showErrorMessage="1" sqref="C4" xr:uid="{7593254F-FDD3-4245-89D5-963F72658FBA}">
      <formula1>"01,04,07,10"</formula1>
    </dataValidation>
    <dataValidation type="list" allowBlank="1" showInputMessage="1" showErrorMessage="1" sqref="D4" xr:uid="{865CE594-C48A-49AC-89B6-D67A4BAAC4EB}">
      <formula1>"2025,2026,2027,2028,2029,2030,2031,2032,2033,2034,2035,2036,2037,2038,2039,2040,2041,2042,2043,2044,2045"</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69CE0-94FD-4C57-88D9-26C06C6472EC}">
  <dimension ref="A2:C99"/>
  <sheetViews>
    <sheetView workbookViewId="0">
      <selection activeCell="G34" sqref="G34"/>
    </sheetView>
  </sheetViews>
  <sheetFormatPr defaultRowHeight="11.25" x14ac:dyDescent="0.2"/>
  <cols>
    <col min="1" max="1" width="17.6640625" bestFit="1" customWidth="1"/>
    <col min="2" max="2" width="10.5" bestFit="1" customWidth="1"/>
  </cols>
  <sheetData>
    <row r="2" spans="1:3" ht="22.5" x14ac:dyDescent="0.2">
      <c r="A2" s="55" t="s">
        <v>36</v>
      </c>
      <c r="B2" s="55" t="s">
        <v>37</v>
      </c>
      <c r="C2" t="s">
        <v>59</v>
      </c>
    </row>
    <row r="3" spans="1:3" ht="12" x14ac:dyDescent="0.2">
      <c r="A3" s="56" t="s">
        <v>38</v>
      </c>
      <c r="B3" s="58">
        <v>45658</v>
      </c>
      <c r="C3" t="s">
        <v>42</v>
      </c>
    </row>
    <row r="4" spans="1:3" ht="12" x14ac:dyDescent="0.2">
      <c r="A4" s="56" t="s">
        <v>38</v>
      </c>
      <c r="B4" s="58">
        <v>45768</v>
      </c>
      <c r="C4" t="s">
        <v>44</v>
      </c>
    </row>
    <row r="5" spans="1:3" ht="12" x14ac:dyDescent="0.2">
      <c r="A5" s="56" t="s">
        <v>38</v>
      </c>
      <c r="B5" s="58">
        <v>46015</v>
      </c>
      <c r="C5" t="s">
        <v>58</v>
      </c>
    </row>
    <row r="6" spans="1:3" ht="12" x14ac:dyDescent="0.2">
      <c r="A6" s="56" t="s">
        <v>38</v>
      </c>
      <c r="B6" s="58">
        <v>46016</v>
      </c>
      <c r="C6" t="s">
        <v>46</v>
      </c>
    </row>
    <row r="7" spans="1:3" ht="12" x14ac:dyDescent="0.2">
      <c r="A7" s="56" t="s">
        <v>38</v>
      </c>
      <c r="B7" s="58">
        <v>46017</v>
      </c>
      <c r="C7" t="s">
        <v>60</v>
      </c>
    </row>
    <row r="8" spans="1:3" ht="12" x14ac:dyDescent="0.2">
      <c r="A8" s="56" t="s">
        <v>38</v>
      </c>
      <c r="B8" s="58">
        <v>46022</v>
      </c>
      <c r="C8" t="s">
        <v>61</v>
      </c>
    </row>
    <row r="9" spans="1:3" ht="12" x14ac:dyDescent="0.2">
      <c r="A9" s="56" t="s">
        <v>38</v>
      </c>
      <c r="B9" s="58">
        <v>46023</v>
      </c>
      <c r="C9" t="s">
        <v>42</v>
      </c>
    </row>
    <row r="10" spans="1:3" ht="12" x14ac:dyDescent="0.2">
      <c r="A10" s="56" t="s">
        <v>38</v>
      </c>
      <c r="B10" s="58">
        <v>46118</v>
      </c>
      <c r="C10" t="s">
        <v>44</v>
      </c>
    </row>
    <row r="11" spans="1:3" ht="12" x14ac:dyDescent="0.2">
      <c r="A11" s="56" t="s">
        <v>38</v>
      </c>
      <c r="B11" s="57">
        <v>46118</v>
      </c>
      <c r="C11" t="s">
        <v>44</v>
      </c>
    </row>
    <row r="12" spans="1:3" ht="12" x14ac:dyDescent="0.2">
      <c r="A12" s="56" t="s">
        <v>38</v>
      </c>
      <c r="B12" s="58">
        <v>46380</v>
      </c>
      <c r="C12" t="s">
        <v>58</v>
      </c>
    </row>
    <row r="13" spans="1:3" ht="12" x14ac:dyDescent="0.2">
      <c r="A13" s="56" t="s">
        <v>38</v>
      </c>
      <c r="B13" s="58">
        <v>46381</v>
      </c>
      <c r="C13" t="s">
        <v>46</v>
      </c>
    </row>
    <row r="14" spans="1:3" ht="12" x14ac:dyDescent="0.2">
      <c r="A14" s="56" t="s">
        <v>38</v>
      </c>
      <c r="B14" s="58">
        <v>46382</v>
      </c>
      <c r="C14" t="s">
        <v>60</v>
      </c>
    </row>
    <row r="15" spans="1:3" ht="12" x14ac:dyDescent="0.2">
      <c r="A15" s="56" t="s">
        <v>38</v>
      </c>
      <c r="B15" s="58">
        <v>46387</v>
      </c>
      <c r="C15" t="s">
        <v>61</v>
      </c>
    </row>
    <row r="16" spans="1:3" ht="12" x14ac:dyDescent="0.2">
      <c r="A16" s="56" t="s">
        <v>38</v>
      </c>
      <c r="B16" s="57">
        <v>46388</v>
      </c>
      <c r="C16" t="s">
        <v>42</v>
      </c>
    </row>
    <row r="17" spans="1:3" ht="12" x14ac:dyDescent="0.2">
      <c r="A17" s="56" t="s">
        <v>38</v>
      </c>
      <c r="B17" s="57">
        <v>46475</v>
      </c>
      <c r="C17" t="s">
        <v>44</v>
      </c>
    </row>
    <row r="18" spans="1:3" ht="12" x14ac:dyDescent="0.2">
      <c r="A18" s="56" t="s">
        <v>38</v>
      </c>
      <c r="B18" s="57">
        <v>46745</v>
      </c>
      <c r="C18" t="s">
        <v>58</v>
      </c>
    </row>
    <row r="19" spans="1:3" ht="12" x14ac:dyDescent="0.2">
      <c r="A19" s="56" t="s">
        <v>38</v>
      </c>
      <c r="B19" s="57">
        <v>46746</v>
      </c>
      <c r="C19" t="s">
        <v>46</v>
      </c>
    </row>
    <row r="20" spans="1:3" ht="12" x14ac:dyDescent="0.2">
      <c r="A20" s="56" t="s">
        <v>38</v>
      </c>
      <c r="B20" s="57">
        <v>46747</v>
      </c>
      <c r="C20" t="s">
        <v>60</v>
      </c>
    </row>
    <row r="21" spans="1:3" ht="12" x14ac:dyDescent="0.2">
      <c r="A21" s="56" t="s">
        <v>38</v>
      </c>
      <c r="B21" s="57">
        <v>46752</v>
      </c>
      <c r="C21" t="s">
        <v>61</v>
      </c>
    </row>
    <row r="22" spans="1:3" ht="12" x14ac:dyDescent="0.2">
      <c r="A22" s="56" t="s">
        <v>38</v>
      </c>
      <c r="B22" s="57">
        <v>46753</v>
      </c>
      <c r="C22" t="s">
        <v>42</v>
      </c>
    </row>
    <row r="23" spans="1:3" ht="12" x14ac:dyDescent="0.2">
      <c r="A23" s="56" t="s">
        <v>38</v>
      </c>
      <c r="B23" s="57">
        <v>46860</v>
      </c>
      <c r="C23" t="s">
        <v>44</v>
      </c>
    </row>
    <row r="24" spans="1:3" ht="12" x14ac:dyDescent="0.2">
      <c r="A24" s="56" t="s">
        <v>38</v>
      </c>
      <c r="B24" s="57">
        <v>47111</v>
      </c>
      <c r="C24" t="s">
        <v>58</v>
      </c>
    </row>
    <row r="25" spans="1:3" ht="12" x14ac:dyDescent="0.2">
      <c r="A25" s="56" t="s">
        <v>38</v>
      </c>
      <c r="B25" s="57">
        <v>47112</v>
      </c>
      <c r="C25" t="s">
        <v>46</v>
      </c>
    </row>
    <row r="26" spans="1:3" ht="12" x14ac:dyDescent="0.2">
      <c r="A26" s="56" t="s">
        <v>38</v>
      </c>
      <c r="B26" s="57">
        <v>47113</v>
      </c>
      <c r="C26" t="s">
        <v>60</v>
      </c>
    </row>
    <row r="27" spans="1:3" ht="12" x14ac:dyDescent="0.2">
      <c r="A27" s="56" t="s">
        <v>38</v>
      </c>
      <c r="B27" s="57">
        <v>47118</v>
      </c>
      <c r="C27" t="s">
        <v>61</v>
      </c>
    </row>
    <row r="28" spans="1:3" ht="12" x14ac:dyDescent="0.2">
      <c r="A28" s="56" t="s">
        <v>38</v>
      </c>
      <c r="B28" s="57">
        <v>47119</v>
      </c>
      <c r="C28" t="s">
        <v>42</v>
      </c>
    </row>
    <row r="29" spans="1:3" ht="12" x14ac:dyDescent="0.2">
      <c r="A29" s="56" t="s">
        <v>38</v>
      </c>
      <c r="B29" s="57">
        <v>47210</v>
      </c>
      <c r="C29" t="s">
        <v>44</v>
      </c>
    </row>
    <row r="30" spans="1:3" ht="12" x14ac:dyDescent="0.2">
      <c r="A30" s="56" t="s">
        <v>38</v>
      </c>
      <c r="B30" s="57">
        <v>47476</v>
      </c>
      <c r="C30" t="s">
        <v>58</v>
      </c>
    </row>
    <row r="31" spans="1:3" ht="12" x14ac:dyDescent="0.2">
      <c r="A31" s="56" t="s">
        <v>38</v>
      </c>
      <c r="B31" s="57">
        <v>47477</v>
      </c>
      <c r="C31" t="s">
        <v>46</v>
      </c>
    </row>
    <row r="32" spans="1:3" ht="12" x14ac:dyDescent="0.2">
      <c r="A32" s="56" t="s">
        <v>38</v>
      </c>
      <c r="B32" s="57">
        <v>47478</v>
      </c>
      <c r="C32" t="s">
        <v>60</v>
      </c>
    </row>
    <row r="33" spans="1:3" ht="12" x14ac:dyDescent="0.2">
      <c r="A33" s="56" t="s">
        <v>38</v>
      </c>
      <c r="B33" s="57">
        <v>47483</v>
      </c>
      <c r="C33" t="s">
        <v>61</v>
      </c>
    </row>
    <row r="34" spans="1:3" ht="12" x14ac:dyDescent="0.2">
      <c r="A34" s="56" t="s">
        <v>38</v>
      </c>
      <c r="B34" s="57">
        <v>47484</v>
      </c>
      <c r="C34" t="s">
        <v>42</v>
      </c>
    </row>
    <row r="35" spans="1:3" ht="12" x14ac:dyDescent="0.2">
      <c r="A35" s="56" t="s">
        <v>38</v>
      </c>
      <c r="B35" s="57">
        <v>47595</v>
      </c>
      <c r="C35" t="s">
        <v>44</v>
      </c>
    </row>
    <row r="36" spans="1:3" ht="12" x14ac:dyDescent="0.2">
      <c r="A36" s="56" t="s">
        <v>38</v>
      </c>
      <c r="B36" s="57">
        <v>47841</v>
      </c>
      <c r="C36" t="s">
        <v>58</v>
      </c>
    </row>
    <row r="37" spans="1:3" ht="12" x14ac:dyDescent="0.2">
      <c r="A37" s="56" t="s">
        <v>38</v>
      </c>
      <c r="B37" s="57">
        <v>47842</v>
      </c>
      <c r="C37" t="s">
        <v>46</v>
      </c>
    </row>
    <row r="38" spans="1:3" ht="12" x14ac:dyDescent="0.2">
      <c r="A38" s="56" t="s">
        <v>38</v>
      </c>
      <c r="B38" s="57">
        <v>47843</v>
      </c>
      <c r="C38" t="s">
        <v>60</v>
      </c>
    </row>
    <row r="39" spans="1:3" ht="12" x14ac:dyDescent="0.2">
      <c r="A39" s="56" t="s">
        <v>38</v>
      </c>
      <c r="B39" s="57">
        <v>47848</v>
      </c>
      <c r="C39" t="s">
        <v>61</v>
      </c>
    </row>
    <row r="40" spans="1:3" ht="12" x14ac:dyDescent="0.2">
      <c r="A40" s="56" t="s">
        <v>38</v>
      </c>
      <c r="B40" s="57">
        <v>47849</v>
      </c>
      <c r="C40" t="s">
        <v>42</v>
      </c>
    </row>
    <row r="41" spans="1:3" ht="12" x14ac:dyDescent="0.2">
      <c r="A41" s="56" t="s">
        <v>38</v>
      </c>
      <c r="B41" s="57">
        <v>47952</v>
      </c>
      <c r="C41" t="s">
        <v>44</v>
      </c>
    </row>
    <row r="42" spans="1:3" ht="12" x14ac:dyDescent="0.2">
      <c r="A42" s="56" t="s">
        <v>38</v>
      </c>
      <c r="B42" s="57">
        <v>48206</v>
      </c>
      <c r="C42" t="s">
        <v>58</v>
      </c>
    </row>
    <row r="43" spans="1:3" ht="12" x14ac:dyDescent="0.2">
      <c r="A43" s="56" t="s">
        <v>38</v>
      </c>
      <c r="B43" s="57">
        <v>48207</v>
      </c>
      <c r="C43" t="s">
        <v>46</v>
      </c>
    </row>
    <row r="44" spans="1:3" ht="12" x14ac:dyDescent="0.2">
      <c r="A44" s="56" t="s">
        <v>38</v>
      </c>
      <c r="B44" s="57">
        <v>48208</v>
      </c>
      <c r="C44" t="s">
        <v>60</v>
      </c>
    </row>
    <row r="45" spans="1:3" ht="12" x14ac:dyDescent="0.2">
      <c r="A45" s="56" t="s">
        <v>38</v>
      </c>
      <c r="B45" s="57">
        <v>48213</v>
      </c>
      <c r="C45" t="s">
        <v>61</v>
      </c>
    </row>
    <row r="46" spans="1:3" ht="12" x14ac:dyDescent="0.2">
      <c r="A46" s="56" t="s">
        <v>38</v>
      </c>
      <c r="B46" s="57">
        <v>48214</v>
      </c>
      <c r="C46" t="s">
        <v>42</v>
      </c>
    </row>
    <row r="47" spans="1:3" ht="12" x14ac:dyDescent="0.2">
      <c r="A47" s="56" t="s">
        <v>38</v>
      </c>
      <c r="B47" s="57">
        <v>48302</v>
      </c>
      <c r="C47" t="s">
        <v>44</v>
      </c>
    </row>
    <row r="48" spans="1:3" ht="12" x14ac:dyDescent="0.2">
      <c r="A48" s="56" t="s">
        <v>38</v>
      </c>
      <c r="B48" s="57">
        <v>48572</v>
      </c>
      <c r="C48" t="s">
        <v>58</v>
      </c>
    </row>
    <row r="49" spans="1:3" ht="12" x14ac:dyDescent="0.2">
      <c r="A49" s="56" t="s">
        <v>38</v>
      </c>
      <c r="B49" s="57">
        <v>48573</v>
      </c>
      <c r="C49" t="s">
        <v>46</v>
      </c>
    </row>
    <row r="50" spans="1:3" ht="12" x14ac:dyDescent="0.2">
      <c r="A50" s="56" t="s">
        <v>38</v>
      </c>
      <c r="B50" s="57">
        <v>48574</v>
      </c>
      <c r="C50" t="s">
        <v>60</v>
      </c>
    </row>
    <row r="51" spans="1:3" ht="12" x14ac:dyDescent="0.2">
      <c r="A51" s="56" t="s">
        <v>38</v>
      </c>
      <c r="B51" s="57">
        <v>48579</v>
      </c>
      <c r="C51" t="s">
        <v>61</v>
      </c>
    </row>
    <row r="52" spans="1:3" ht="12" x14ac:dyDescent="0.2">
      <c r="A52" s="56" t="s">
        <v>38</v>
      </c>
      <c r="B52" s="57">
        <v>48580</v>
      </c>
      <c r="C52" t="s">
        <v>42</v>
      </c>
    </row>
    <row r="53" spans="1:3" ht="12" x14ac:dyDescent="0.2">
      <c r="A53" s="56" t="s">
        <v>38</v>
      </c>
      <c r="B53" s="57">
        <v>48687</v>
      </c>
      <c r="C53" t="s">
        <v>44</v>
      </c>
    </row>
    <row r="54" spans="1:3" ht="12" x14ac:dyDescent="0.2">
      <c r="A54" s="56" t="s">
        <v>38</v>
      </c>
      <c r="B54" s="57">
        <v>48937</v>
      </c>
      <c r="C54" t="s">
        <v>58</v>
      </c>
    </row>
    <row r="55" spans="1:3" ht="12" x14ac:dyDescent="0.2">
      <c r="A55" s="56" t="s">
        <v>38</v>
      </c>
      <c r="B55" s="57">
        <v>48938</v>
      </c>
      <c r="C55" t="s">
        <v>46</v>
      </c>
    </row>
    <row r="56" spans="1:3" ht="12" x14ac:dyDescent="0.2">
      <c r="A56" s="56" t="s">
        <v>38</v>
      </c>
      <c r="B56" s="57">
        <v>48939</v>
      </c>
      <c r="C56" t="s">
        <v>60</v>
      </c>
    </row>
    <row r="57" spans="1:3" ht="12" x14ac:dyDescent="0.2">
      <c r="A57" s="56" t="s">
        <v>38</v>
      </c>
      <c r="B57" s="57">
        <v>48944</v>
      </c>
      <c r="C57" t="s">
        <v>61</v>
      </c>
    </row>
    <row r="58" spans="1:3" ht="12" x14ac:dyDescent="0.2">
      <c r="A58" s="56" t="s">
        <v>38</v>
      </c>
      <c r="B58" s="57">
        <v>48945</v>
      </c>
      <c r="C58" t="s">
        <v>42</v>
      </c>
    </row>
    <row r="59" spans="1:3" ht="12" x14ac:dyDescent="0.2">
      <c r="A59" s="56" t="s">
        <v>38</v>
      </c>
      <c r="B59" s="57">
        <v>49044</v>
      </c>
      <c r="C59" t="s">
        <v>44</v>
      </c>
    </row>
    <row r="60" spans="1:3" ht="12" x14ac:dyDescent="0.2">
      <c r="A60" s="56" t="s">
        <v>38</v>
      </c>
      <c r="B60" s="57">
        <v>49302</v>
      </c>
      <c r="C60" t="s">
        <v>58</v>
      </c>
    </row>
    <row r="61" spans="1:3" ht="12" x14ac:dyDescent="0.2">
      <c r="A61" s="56" t="s">
        <v>38</v>
      </c>
      <c r="B61" s="57">
        <v>49303</v>
      </c>
      <c r="C61" t="s">
        <v>46</v>
      </c>
    </row>
    <row r="62" spans="1:3" ht="12" x14ac:dyDescent="0.2">
      <c r="A62" s="56" t="s">
        <v>38</v>
      </c>
      <c r="B62" s="57">
        <v>49304</v>
      </c>
      <c r="C62" t="s">
        <v>60</v>
      </c>
    </row>
    <row r="63" spans="1:3" ht="12" x14ac:dyDescent="0.2">
      <c r="A63" s="56" t="s">
        <v>38</v>
      </c>
      <c r="B63" s="57">
        <v>49309</v>
      </c>
      <c r="C63" t="s">
        <v>61</v>
      </c>
    </row>
    <row r="64" spans="1:3" ht="12" x14ac:dyDescent="0.2">
      <c r="A64" s="56" t="s">
        <v>38</v>
      </c>
      <c r="B64" s="57">
        <v>49310</v>
      </c>
      <c r="C64" t="s">
        <v>42</v>
      </c>
    </row>
    <row r="65" spans="1:3" ht="12" x14ac:dyDescent="0.2">
      <c r="A65" s="56" t="s">
        <v>38</v>
      </c>
      <c r="B65" s="57">
        <v>49394</v>
      </c>
      <c r="C65" t="s">
        <v>44</v>
      </c>
    </row>
    <row r="66" spans="1:3" ht="12" x14ac:dyDescent="0.2">
      <c r="A66" s="56" t="s">
        <v>38</v>
      </c>
      <c r="B66" s="57">
        <v>49667</v>
      </c>
      <c r="C66" t="s">
        <v>58</v>
      </c>
    </row>
    <row r="67" spans="1:3" ht="12" x14ac:dyDescent="0.2">
      <c r="A67" s="56" t="s">
        <v>38</v>
      </c>
      <c r="B67" s="57">
        <v>49668</v>
      </c>
      <c r="C67" t="s">
        <v>46</v>
      </c>
    </row>
    <row r="68" spans="1:3" ht="12" x14ac:dyDescent="0.2">
      <c r="A68" s="56" t="s">
        <v>38</v>
      </c>
      <c r="B68" s="57">
        <v>49669</v>
      </c>
      <c r="C68" t="s">
        <v>60</v>
      </c>
    </row>
    <row r="69" spans="1:3" ht="12" x14ac:dyDescent="0.2">
      <c r="A69" s="56" t="s">
        <v>38</v>
      </c>
      <c r="B69" s="57">
        <v>49674</v>
      </c>
      <c r="C69" t="s">
        <v>61</v>
      </c>
    </row>
    <row r="70" spans="1:3" ht="12" x14ac:dyDescent="0.2">
      <c r="A70" s="56" t="s">
        <v>38</v>
      </c>
      <c r="B70" s="57">
        <v>49675</v>
      </c>
      <c r="C70" t="s">
        <v>42</v>
      </c>
    </row>
    <row r="71" spans="1:3" ht="12" x14ac:dyDescent="0.2">
      <c r="A71" s="56" t="s">
        <v>38</v>
      </c>
      <c r="B71" s="57">
        <v>49779</v>
      </c>
      <c r="C71" t="s">
        <v>44</v>
      </c>
    </row>
    <row r="72" spans="1:3" ht="12" x14ac:dyDescent="0.2">
      <c r="A72" s="56" t="s">
        <v>38</v>
      </c>
      <c r="B72" s="57">
        <v>50033</v>
      </c>
      <c r="C72" t="s">
        <v>58</v>
      </c>
    </row>
    <row r="73" spans="1:3" ht="12" x14ac:dyDescent="0.2">
      <c r="A73" s="56" t="s">
        <v>38</v>
      </c>
      <c r="B73" s="57">
        <v>50034</v>
      </c>
      <c r="C73" t="s">
        <v>46</v>
      </c>
    </row>
    <row r="74" spans="1:3" ht="12" x14ac:dyDescent="0.2">
      <c r="A74" s="56" t="s">
        <v>38</v>
      </c>
      <c r="B74" s="57">
        <v>50035</v>
      </c>
      <c r="C74" t="s">
        <v>60</v>
      </c>
    </row>
    <row r="75" spans="1:3" ht="12" x14ac:dyDescent="0.2">
      <c r="A75" s="56" t="s">
        <v>38</v>
      </c>
      <c r="B75" s="57">
        <v>50040</v>
      </c>
      <c r="C75" t="s">
        <v>61</v>
      </c>
    </row>
    <row r="76" spans="1:3" ht="12" x14ac:dyDescent="0.2">
      <c r="A76" s="56" t="s">
        <v>38</v>
      </c>
      <c r="B76" s="57">
        <v>50041</v>
      </c>
      <c r="C76" t="s">
        <v>42</v>
      </c>
    </row>
    <row r="77" spans="1:3" ht="12" x14ac:dyDescent="0.2">
      <c r="A77" s="56" t="s">
        <v>38</v>
      </c>
      <c r="B77" s="57">
        <v>50136</v>
      </c>
      <c r="C77" t="s">
        <v>44</v>
      </c>
    </row>
    <row r="78" spans="1:3" ht="12" x14ac:dyDescent="0.2">
      <c r="A78" s="56" t="s">
        <v>38</v>
      </c>
      <c r="B78" s="57">
        <v>50398</v>
      </c>
      <c r="C78" t="s">
        <v>58</v>
      </c>
    </row>
    <row r="79" spans="1:3" ht="12" x14ac:dyDescent="0.2">
      <c r="A79" s="56" t="s">
        <v>38</v>
      </c>
      <c r="B79" s="57">
        <v>50399</v>
      </c>
      <c r="C79" t="s">
        <v>46</v>
      </c>
    </row>
    <row r="80" spans="1:3" ht="12" x14ac:dyDescent="0.2">
      <c r="A80" s="56" t="s">
        <v>38</v>
      </c>
      <c r="B80" s="57">
        <v>50400</v>
      </c>
      <c r="C80" t="s">
        <v>60</v>
      </c>
    </row>
    <row r="81" spans="1:3" ht="12" x14ac:dyDescent="0.2">
      <c r="A81" s="56" t="s">
        <v>38</v>
      </c>
      <c r="B81" s="57">
        <v>50405</v>
      </c>
      <c r="C81" t="s">
        <v>61</v>
      </c>
    </row>
    <row r="82" spans="1:3" ht="12" x14ac:dyDescent="0.2">
      <c r="A82" s="56" t="s">
        <v>38</v>
      </c>
      <c r="B82" s="57">
        <v>50406</v>
      </c>
      <c r="C82" t="s">
        <v>42</v>
      </c>
    </row>
    <row r="83" spans="1:3" ht="12" x14ac:dyDescent="0.2">
      <c r="A83" s="56" t="s">
        <v>38</v>
      </c>
      <c r="B83" s="57">
        <v>50521</v>
      </c>
      <c r="C83" t="s">
        <v>44</v>
      </c>
    </row>
    <row r="84" spans="1:3" ht="12" x14ac:dyDescent="0.2">
      <c r="A84" s="56" t="s">
        <v>38</v>
      </c>
      <c r="B84" s="57">
        <v>50763</v>
      </c>
      <c r="C84" t="s">
        <v>58</v>
      </c>
    </row>
    <row r="85" spans="1:3" ht="12" x14ac:dyDescent="0.2">
      <c r="A85" s="56" t="s">
        <v>38</v>
      </c>
      <c r="B85" s="57">
        <v>50764</v>
      </c>
      <c r="C85" t="s">
        <v>46</v>
      </c>
    </row>
    <row r="86" spans="1:3" ht="12" x14ac:dyDescent="0.2">
      <c r="A86" s="56" t="s">
        <v>38</v>
      </c>
      <c r="B86" s="57">
        <v>50765</v>
      </c>
      <c r="C86" t="s">
        <v>60</v>
      </c>
    </row>
    <row r="87" spans="1:3" ht="12" x14ac:dyDescent="0.2">
      <c r="A87" s="56" t="s">
        <v>38</v>
      </c>
      <c r="B87" s="57">
        <v>50770</v>
      </c>
      <c r="C87" t="s">
        <v>61</v>
      </c>
    </row>
    <row r="88" spans="1:3" ht="12" x14ac:dyDescent="0.2">
      <c r="A88" s="56" t="s">
        <v>38</v>
      </c>
      <c r="B88" s="57">
        <v>50771</v>
      </c>
      <c r="C88" t="s">
        <v>42</v>
      </c>
    </row>
    <row r="89" spans="1:3" ht="12" x14ac:dyDescent="0.2">
      <c r="A89" s="56" t="s">
        <v>38</v>
      </c>
      <c r="B89" s="57">
        <v>50871</v>
      </c>
      <c r="C89" t="s">
        <v>44</v>
      </c>
    </row>
    <row r="90" spans="1:3" ht="12" x14ac:dyDescent="0.2">
      <c r="A90" s="56" t="s">
        <v>38</v>
      </c>
      <c r="B90" s="57">
        <v>51128</v>
      </c>
      <c r="C90" t="s">
        <v>58</v>
      </c>
    </row>
    <row r="91" spans="1:3" ht="12" x14ac:dyDescent="0.2">
      <c r="A91" s="56" t="s">
        <v>38</v>
      </c>
      <c r="B91" s="57">
        <v>51129</v>
      </c>
      <c r="C91" t="s">
        <v>46</v>
      </c>
    </row>
    <row r="92" spans="1:3" ht="12" x14ac:dyDescent="0.2">
      <c r="A92" s="56" t="s">
        <v>38</v>
      </c>
      <c r="B92" s="57">
        <v>51130</v>
      </c>
      <c r="C92" t="s">
        <v>60</v>
      </c>
    </row>
    <row r="93" spans="1:3" ht="12" x14ac:dyDescent="0.2">
      <c r="A93" s="56" t="s">
        <v>38</v>
      </c>
      <c r="B93" s="57">
        <v>51135</v>
      </c>
      <c r="C93" t="s">
        <v>61</v>
      </c>
    </row>
    <row r="94" spans="1:3" ht="12" x14ac:dyDescent="0.2">
      <c r="A94" s="56" t="s">
        <v>38</v>
      </c>
      <c r="B94" s="57">
        <v>51136</v>
      </c>
      <c r="C94" t="s">
        <v>42</v>
      </c>
    </row>
    <row r="95" spans="1:3" ht="12" x14ac:dyDescent="0.2">
      <c r="A95" s="56" t="s">
        <v>38</v>
      </c>
      <c r="B95" s="57">
        <v>51228</v>
      </c>
      <c r="C95" t="s">
        <v>44</v>
      </c>
    </row>
    <row r="96" spans="1:3" ht="12" x14ac:dyDescent="0.2">
      <c r="A96" s="56" t="s">
        <v>38</v>
      </c>
      <c r="B96" s="57">
        <v>51494</v>
      </c>
      <c r="C96" t="s">
        <v>58</v>
      </c>
    </row>
    <row r="97" spans="1:3" ht="12" x14ac:dyDescent="0.2">
      <c r="A97" s="56" t="s">
        <v>38</v>
      </c>
      <c r="B97" s="57">
        <v>51495</v>
      </c>
      <c r="C97" t="s">
        <v>46</v>
      </c>
    </row>
    <row r="98" spans="1:3" ht="12" x14ac:dyDescent="0.2">
      <c r="A98" s="56" t="s">
        <v>38</v>
      </c>
      <c r="B98" s="57">
        <v>51496</v>
      </c>
      <c r="C98" t="s">
        <v>60</v>
      </c>
    </row>
    <row r="99" spans="1:3" ht="12" x14ac:dyDescent="0.2">
      <c r="A99" s="56" t="s">
        <v>38</v>
      </c>
      <c r="B99" s="57">
        <v>51501</v>
      </c>
      <c r="C99" t="s">
        <v>61</v>
      </c>
    </row>
  </sheetData>
  <autoFilter ref="A2:C2" xr:uid="{9E369CE0-94FD-4C57-88D9-26C06C6472EC}">
    <sortState xmlns:xlrd2="http://schemas.microsoft.com/office/spreadsheetml/2017/richdata2" ref="A3:C99">
      <sortCondition ref="B2"/>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9E3EE-7F14-43CC-93E3-F342FD6339AD}">
  <dimension ref="A2:C37"/>
  <sheetViews>
    <sheetView workbookViewId="0">
      <selection activeCell="F122" sqref="F122:F123"/>
    </sheetView>
  </sheetViews>
  <sheetFormatPr defaultRowHeight="11.25" x14ac:dyDescent="0.2"/>
  <cols>
    <col min="2" max="2" width="10.5" bestFit="1" customWidth="1"/>
    <col min="3" max="3" width="12.83203125" bestFit="1" customWidth="1"/>
  </cols>
  <sheetData>
    <row r="2" spans="1:3" x14ac:dyDescent="0.2">
      <c r="A2" t="s">
        <v>39</v>
      </c>
    </row>
    <row r="3" spans="1:3" x14ac:dyDescent="0.2">
      <c r="A3" t="s">
        <v>40</v>
      </c>
      <c r="B3" t="s">
        <v>47</v>
      </c>
      <c r="C3" t="s">
        <v>41</v>
      </c>
    </row>
    <row r="4" spans="1:3" x14ac:dyDescent="0.2">
      <c r="A4" t="s">
        <v>40</v>
      </c>
      <c r="B4" s="57">
        <v>45658</v>
      </c>
      <c r="C4" t="s">
        <v>42</v>
      </c>
    </row>
    <row r="5" spans="1:3" x14ac:dyDescent="0.2">
      <c r="A5" t="s">
        <v>40</v>
      </c>
      <c r="B5" s="57">
        <v>45765</v>
      </c>
      <c r="C5" t="s">
        <v>43</v>
      </c>
    </row>
    <row r="6" spans="1:3" x14ac:dyDescent="0.2">
      <c r="A6" t="s">
        <v>40</v>
      </c>
      <c r="B6" s="57">
        <v>45768</v>
      </c>
      <c r="C6" t="s">
        <v>44</v>
      </c>
    </row>
    <row r="7" spans="1:3" x14ac:dyDescent="0.2">
      <c r="A7" t="s">
        <v>40</v>
      </c>
      <c r="B7" s="57">
        <v>45778</v>
      </c>
      <c r="C7" t="s">
        <v>45</v>
      </c>
    </row>
    <row r="8" spans="1:3" x14ac:dyDescent="0.2">
      <c r="A8" t="s">
        <v>40</v>
      </c>
      <c r="B8" s="57">
        <v>46016</v>
      </c>
      <c r="C8" t="s">
        <v>46</v>
      </c>
    </row>
    <row r="9" spans="1:3" x14ac:dyDescent="0.2">
      <c r="A9" t="s">
        <v>40</v>
      </c>
      <c r="B9" s="57">
        <v>46017</v>
      </c>
      <c r="C9" t="s">
        <v>46</v>
      </c>
    </row>
    <row r="10" spans="1:3" x14ac:dyDescent="0.2">
      <c r="A10" t="s">
        <v>40</v>
      </c>
      <c r="B10" s="57">
        <v>46023</v>
      </c>
      <c r="C10" t="s">
        <v>42</v>
      </c>
    </row>
    <row r="11" spans="1:3" x14ac:dyDescent="0.2">
      <c r="A11" t="s">
        <v>40</v>
      </c>
      <c r="B11" s="57">
        <v>46115</v>
      </c>
      <c r="C11" t="s">
        <v>43</v>
      </c>
    </row>
    <row r="12" spans="1:3" x14ac:dyDescent="0.2">
      <c r="A12" t="s">
        <v>40</v>
      </c>
      <c r="B12" s="57">
        <v>46118</v>
      </c>
      <c r="C12" t="s">
        <v>44</v>
      </c>
    </row>
    <row r="13" spans="1:3" x14ac:dyDescent="0.2">
      <c r="A13" t="s">
        <v>40</v>
      </c>
      <c r="B13" s="57">
        <v>46143</v>
      </c>
      <c r="C13" t="s">
        <v>45</v>
      </c>
    </row>
    <row r="14" spans="1:3" x14ac:dyDescent="0.2">
      <c r="A14" t="s">
        <v>40</v>
      </c>
      <c r="B14" s="57">
        <v>46381</v>
      </c>
      <c r="C14" t="s">
        <v>46</v>
      </c>
    </row>
    <row r="15" spans="1:3" x14ac:dyDescent="0.2">
      <c r="A15" t="s">
        <v>40</v>
      </c>
      <c r="B15" s="57">
        <v>46382</v>
      </c>
      <c r="C15" t="s">
        <v>46</v>
      </c>
    </row>
    <row r="16" spans="1:3" x14ac:dyDescent="0.2">
      <c r="A16" t="s">
        <v>48</v>
      </c>
      <c r="B16" s="57">
        <v>45658</v>
      </c>
      <c r="C16" t="s">
        <v>42</v>
      </c>
    </row>
    <row r="17" spans="1:3" x14ac:dyDescent="0.2">
      <c r="A17" t="s">
        <v>48</v>
      </c>
      <c r="B17" s="57">
        <v>45677</v>
      </c>
      <c r="C17" t="s">
        <v>49</v>
      </c>
    </row>
    <row r="18" spans="1:3" x14ac:dyDescent="0.2">
      <c r="A18" t="s">
        <v>48</v>
      </c>
      <c r="B18" s="57">
        <v>45705</v>
      </c>
      <c r="C18" t="s">
        <v>50</v>
      </c>
    </row>
    <row r="19" spans="1:3" x14ac:dyDescent="0.2">
      <c r="A19" t="s">
        <v>48</v>
      </c>
      <c r="B19" s="57">
        <v>45803</v>
      </c>
      <c r="C19" t="s">
        <v>51</v>
      </c>
    </row>
    <row r="20" spans="1:3" x14ac:dyDescent="0.2">
      <c r="A20" t="s">
        <v>48</v>
      </c>
      <c r="B20" s="57">
        <v>45827</v>
      </c>
      <c r="C20" t="s">
        <v>52</v>
      </c>
    </row>
    <row r="21" spans="1:3" x14ac:dyDescent="0.2">
      <c r="A21" t="s">
        <v>48</v>
      </c>
      <c r="B21" s="57">
        <v>45842</v>
      </c>
      <c r="C21" t="s">
        <v>53</v>
      </c>
    </row>
    <row r="22" spans="1:3" x14ac:dyDescent="0.2">
      <c r="A22" t="s">
        <v>48</v>
      </c>
      <c r="B22" s="57">
        <v>45901</v>
      </c>
      <c r="C22" t="s">
        <v>54</v>
      </c>
    </row>
    <row r="23" spans="1:3" x14ac:dyDescent="0.2">
      <c r="A23" t="s">
        <v>48</v>
      </c>
      <c r="B23" s="57">
        <v>45943</v>
      </c>
      <c r="C23" t="s">
        <v>55</v>
      </c>
    </row>
    <row r="24" spans="1:3" x14ac:dyDescent="0.2">
      <c r="A24" t="s">
        <v>48</v>
      </c>
      <c r="B24" s="57">
        <v>45972</v>
      </c>
      <c r="C24" t="s">
        <v>56</v>
      </c>
    </row>
    <row r="25" spans="1:3" x14ac:dyDescent="0.2">
      <c r="A25" t="s">
        <v>48</v>
      </c>
      <c r="B25" s="57">
        <v>45988</v>
      </c>
      <c r="C25" t="s">
        <v>57</v>
      </c>
    </row>
    <row r="26" spans="1:3" x14ac:dyDescent="0.2">
      <c r="A26" t="s">
        <v>48</v>
      </c>
      <c r="B26" s="57">
        <v>46016</v>
      </c>
      <c r="C26" t="s">
        <v>46</v>
      </c>
    </row>
    <row r="27" spans="1:3" x14ac:dyDescent="0.2">
      <c r="A27" t="s">
        <v>48</v>
      </c>
      <c r="B27" s="57">
        <v>46023</v>
      </c>
      <c r="C27" t="s">
        <v>42</v>
      </c>
    </row>
    <row r="28" spans="1:3" x14ac:dyDescent="0.2">
      <c r="A28" t="s">
        <v>48</v>
      </c>
      <c r="B28" s="57">
        <v>46041</v>
      </c>
      <c r="C28" t="s">
        <v>49</v>
      </c>
    </row>
    <row r="29" spans="1:3" x14ac:dyDescent="0.2">
      <c r="A29" t="s">
        <v>48</v>
      </c>
      <c r="B29" s="57">
        <v>46069</v>
      </c>
      <c r="C29" t="s">
        <v>50</v>
      </c>
    </row>
    <row r="30" spans="1:3" x14ac:dyDescent="0.2">
      <c r="A30" t="s">
        <v>48</v>
      </c>
      <c r="B30" s="57">
        <v>46167</v>
      </c>
      <c r="C30" t="s">
        <v>51</v>
      </c>
    </row>
    <row r="31" spans="1:3" x14ac:dyDescent="0.2">
      <c r="A31" t="s">
        <v>48</v>
      </c>
      <c r="B31" s="57">
        <v>46192</v>
      </c>
      <c r="C31" t="s">
        <v>52</v>
      </c>
    </row>
    <row r="32" spans="1:3" x14ac:dyDescent="0.2">
      <c r="A32" t="s">
        <v>48</v>
      </c>
      <c r="B32" s="57">
        <v>46207</v>
      </c>
      <c r="C32" t="s">
        <v>53</v>
      </c>
    </row>
    <row r="33" spans="1:3" x14ac:dyDescent="0.2">
      <c r="A33" t="s">
        <v>48</v>
      </c>
      <c r="B33" s="57">
        <v>46272</v>
      </c>
      <c r="C33" t="s">
        <v>54</v>
      </c>
    </row>
    <row r="34" spans="1:3" x14ac:dyDescent="0.2">
      <c r="A34" t="s">
        <v>48</v>
      </c>
      <c r="B34" s="57">
        <v>46307</v>
      </c>
      <c r="C34" t="s">
        <v>55</v>
      </c>
    </row>
    <row r="35" spans="1:3" x14ac:dyDescent="0.2">
      <c r="A35" t="s">
        <v>48</v>
      </c>
      <c r="B35" s="57">
        <v>46337</v>
      </c>
      <c r="C35" t="s">
        <v>56</v>
      </c>
    </row>
    <row r="36" spans="1:3" x14ac:dyDescent="0.2">
      <c r="A36" t="s">
        <v>48</v>
      </c>
      <c r="B36" s="57">
        <v>46352</v>
      </c>
      <c r="C36" t="s">
        <v>57</v>
      </c>
    </row>
    <row r="37" spans="1:3" x14ac:dyDescent="0.2">
      <c r="A37" t="s">
        <v>48</v>
      </c>
      <c r="B37" s="57">
        <v>46381</v>
      </c>
      <c r="C37" t="s">
        <v>46</v>
      </c>
    </row>
  </sheetData>
  <autoFilter ref="A3:C3" xr:uid="{BB39E3EE-7F14-43CC-93E3-F342FD6339AD}"/>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TM16410228</Template>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2025 Calendar</vt:lpstr>
      <vt:lpstr>2026 Calendar</vt:lpstr>
      <vt:lpstr>Redemption Day Simulation</vt:lpstr>
      <vt:lpstr>Holiday Calendar</vt:lpstr>
      <vt:lpstr>Currency Holiday Calendar</vt:lpstr>
      <vt:lpstr>'2026 Calendar'!CalendarYear</vt:lpstr>
      <vt:lpstr>CalendarYear</vt:lpstr>
      <vt:lpstr>'2025 Calendar'!Print_Area</vt:lpstr>
      <vt:lpstr>'2026 Calendar'!Print_Area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2022-01-03T23:06:45Z</dcterms:created>
  <dcterms:modified xsi:type="dcterms:W3CDTF">2025-09-30T14:06:11Z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aa0cbb-5564-4e8a-895b-d8e0320ecda7_Enabled">
    <vt:lpwstr>true</vt:lpwstr>
  </property>
  <property fmtid="{D5CDD505-2E9C-101B-9397-08002B2CF9AE}" pid="3" name="MSIP_Label_b2aa0cbb-5564-4e8a-895b-d8e0320ecda7_SetDate">
    <vt:lpwstr>2025-02-06T10:02:43Z</vt:lpwstr>
  </property>
  <property fmtid="{D5CDD505-2E9C-101B-9397-08002B2CF9AE}" pid="4" name="MSIP_Label_b2aa0cbb-5564-4e8a-895b-d8e0320ecda7_Method">
    <vt:lpwstr>Standard</vt:lpwstr>
  </property>
  <property fmtid="{D5CDD505-2E9C-101B-9397-08002B2CF9AE}" pid="5" name="MSIP_Label_b2aa0cbb-5564-4e8a-895b-d8e0320ecda7_Name">
    <vt:lpwstr>Internal - Unencrypted</vt:lpwstr>
  </property>
  <property fmtid="{D5CDD505-2E9C-101B-9397-08002B2CF9AE}" pid="6" name="MSIP_Label_b2aa0cbb-5564-4e8a-895b-d8e0320ecda7_SiteId">
    <vt:lpwstr>79c738e8-25cd-4c36-adf6-6ea2ed78f6a4</vt:lpwstr>
  </property>
  <property fmtid="{D5CDD505-2E9C-101B-9397-08002B2CF9AE}" pid="7" name="MSIP_Label_b2aa0cbb-5564-4e8a-895b-d8e0320ecda7_ActionId">
    <vt:lpwstr>68fb2492-8a63-4a6f-ab4e-c1d9305232cb</vt:lpwstr>
  </property>
  <property fmtid="{D5CDD505-2E9C-101B-9397-08002B2CF9AE}" pid="8" name="MSIP_Label_b2aa0cbb-5564-4e8a-895b-d8e0320ecda7_ContentBits">
    <vt:lpwstr>0</vt:lpwstr>
  </property>
  <property fmtid="{D5CDD505-2E9C-101B-9397-08002B2CF9AE}" pid="9" name="HiddenData">
    <vt:lpwstr>Hidden Sheets: Holiday Calendar,Currency Holiday Calendar
Hidden Contents:
Sheet Name: Redemption Day Simulation (...)</vt:lpwstr>
  </property>
  <property fmtid="{D5CDD505-2E9C-101B-9397-08002B2CF9AE}" pid="10" name="FormulaData">
    <vt:lpwstr>Formula Contents:
Sheet Name: Redemption Day Simulation: D5 (...)</vt:lpwstr>
  </property>
</Properties>
</file>